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05BB264A-E738-4595-8262-6194F32EDB8A}" xr6:coauthVersionLast="43" xr6:coauthVersionMax="43" xr10:uidLastSave="{00000000-0000-0000-0000-000000000000}"/>
  <bookViews>
    <workbookView xWindow="-98" yWindow="-98" windowWidth="20715" windowHeight="13425" activeTab="3" xr2:uid="{00000000-000D-0000-FFFF-FFFF00000000}"/>
  </bookViews>
  <sheets>
    <sheet name="2015" sheetId="1" r:id="rId1"/>
    <sheet name="2016" sheetId="2" r:id="rId2"/>
    <sheet name="2017" sheetId="6" r:id="rId3"/>
    <sheet name="2018" sheetId="8" r:id="rId4"/>
  </sheets>
  <definedNames>
    <definedName name="_xlnm.Print_Area" localSheetId="1">'2016'!$A$1:$N$61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26" i="8" l="1"/>
  <c r="M23" i="8"/>
  <c r="M13" i="8"/>
  <c r="M14" i="8" l="1"/>
  <c r="J52" i="8"/>
  <c r="J25" i="8"/>
  <c r="J22" i="8"/>
  <c r="N5" i="8" l="1"/>
  <c r="N4" i="8"/>
  <c r="N5" i="6"/>
  <c r="N4" i="6"/>
  <c r="M63" i="8" l="1"/>
  <c r="I63" i="8"/>
  <c r="M59" i="8" l="1"/>
  <c r="M45" i="8"/>
  <c r="N54" i="8"/>
  <c r="N55" i="8"/>
  <c r="N53" i="8"/>
  <c r="I49" i="8" l="1"/>
  <c r="N48" i="8"/>
  <c r="N45" i="8"/>
  <c r="N40" i="8"/>
  <c r="B36" i="8"/>
  <c r="M36" i="8"/>
  <c r="L36" i="8"/>
  <c r="K36" i="8"/>
  <c r="J36" i="8"/>
  <c r="I36" i="8"/>
  <c r="H36" i="8"/>
  <c r="G36" i="8"/>
  <c r="F36" i="8"/>
  <c r="E36" i="8"/>
  <c r="D36" i="8"/>
  <c r="C36" i="8"/>
  <c r="C37" i="8"/>
  <c r="J39" i="8"/>
  <c r="C64" i="8"/>
  <c r="D64" i="8"/>
  <c r="E64" i="8"/>
  <c r="F64" i="8"/>
  <c r="G64" i="8"/>
  <c r="H64" i="8"/>
  <c r="I64" i="8"/>
  <c r="J64" i="8"/>
  <c r="K64" i="8"/>
  <c r="L64" i="8"/>
  <c r="B64" i="8"/>
  <c r="M66" i="8"/>
  <c r="M65" i="8"/>
  <c r="M64" i="8" s="1"/>
  <c r="I26" i="8"/>
  <c r="H26" i="8"/>
  <c r="G26" i="8"/>
  <c r="F26" i="8"/>
  <c r="E26" i="8"/>
  <c r="D63" i="8" s="1"/>
  <c r="D26" i="8"/>
  <c r="C63" i="8" s="1"/>
  <c r="C26" i="8"/>
  <c r="B63" i="8" s="1"/>
  <c r="B26" i="8"/>
  <c r="M25" i="8"/>
  <c r="L63" i="8" s="1"/>
  <c r="L25" i="8"/>
  <c r="K63" i="8" s="1"/>
  <c r="K25" i="8"/>
  <c r="J63" i="8" s="1"/>
  <c r="I25" i="8"/>
  <c r="H25" i="8"/>
  <c r="G63" i="8" s="1"/>
  <c r="G25" i="8"/>
  <c r="F25" i="8"/>
  <c r="B25" i="8"/>
  <c r="M59" i="6" s="1"/>
  <c r="C60" i="6"/>
  <c r="D60" i="6"/>
  <c r="E60" i="6"/>
  <c r="F60" i="6"/>
  <c r="H60" i="6"/>
  <c r="I60" i="6"/>
  <c r="J60" i="6"/>
  <c r="K60" i="6"/>
  <c r="L60" i="6"/>
  <c r="M60" i="6"/>
  <c r="B60" i="6"/>
  <c r="G15" i="2"/>
  <c r="C57" i="2"/>
  <c r="D57" i="2"/>
  <c r="E57" i="2"/>
  <c r="G57" i="2"/>
  <c r="I57" i="2"/>
  <c r="J57" i="2"/>
  <c r="K57" i="2"/>
  <c r="L57" i="2"/>
  <c r="M57" i="2"/>
  <c r="B57" i="2"/>
  <c r="K16" i="2"/>
  <c r="I16" i="2"/>
  <c r="J16" i="2"/>
  <c r="N14" i="2"/>
  <c r="D15" i="2"/>
  <c r="C56" i="2" s="1"/>
  <c r="N13" i="2"/>
  <c r="L33" i="1"/>
  <c r="M33" i="1"/>
  <c r="K33" i="1"/>
  <c r="N33" i="1" s="1"/>
  <c r="N8" i="1"/>
  <c r="M9" i="1"/>
  <c r="L32" i="1" s="1"/>
  <c r="L9" i="1"/>
  <c r="K32" i="1" s="1"/>
  <c r="K9" i="1"/>
  <c r="J9" i="1"/>
  <c r="H63" i="8" l="1"/>
  <c r="E63" i="8"/>
  <c r="N63" i="8"/>
  <c r="J32" i="1"/>
  <c r="F63" i="8"/>
  <c r="N64" i="8"/>
  <c r="N60" i="6"/>
  <c r="N24" i="8"/>
  <c r="N22" i="8"/>
  <c r="N23" i="8"/>
  <c r="N15" i="8"/>
  <c r="N67" i="8"/>
  <c r="N66" i="8"/>
  <c r="N65" i="8"/>
  <c r="N62" i="8"/>
  <c r="N61" i="8"/>
  <c r="N52" i="8"/>
  <c r="N51" i="8"/>
  <c r="N50" i="8"/>
  <c r="N49" i="8"/>
  <c r="N47" i="8"/>
  <c r="N46" i="8"/>
  <c r="N44" i="8"/>
  <c r="N43" i="8"/>
  <c r="N39" i="8"/>
  <c r="N38" i="8"/>
  <c r="N37" i="8"/>
  <c r="M56" i="8"/>
  <c r="L56" i="8"/>
  <c r="K56" i="8"/>
  <c r="J56" i="8"/>
  <c r="I56" i="8"/>
  <c r="G56" i="8"/>
  <c r="E56" i="8"/>
  <c r="C56" i="8"/>
  <c r="N35" i="8"/>
  <c r="C31" i="8"/>
  <c r="N30" i="8"/>
  <c r="N29" i="8"/>
  <c r="N28" i="8"/>
  <c r="N27" i="8"/>
  <c r="E31" i="8"/>
  <c r="N26" i="8"/>
  <c r="N21" i="8"/>
  <c r="N20" i="8"/>
  <c r="N19" i="8"/>
  <c r="N18" i="8"/>
  <c r="N17" i="8"/>
  <c r="N16" i="8"/>
  <c r="N14" i="8"/>
  <c r="N13" i="8"/>
  <c r="N12" i="8"/>
  <c r="N11" i="8"/>
  <c r="N10" i="8"/>
  <c r="N9" i="8"/>
  <c r="N8" i="8"/>
  <c r="N7" i="8"/>
  <c r="N6" i="8"/>
  <c r="B56" i="8" l="1"/>
  <c r="D56" i="8"/>
  <c r="F56" i="8"/>
  <c r="H56" i="8"/>
  <c r="N41" i="8"/>
  <c r="N42" i="8"/>
  <c r="G31" i="8"/>
  <c r="I31" i="8"/>
  <c r="K31" i="8"/>
  <c r="M31" i="8"/>
  <c r="N25" i="8"/>
  <c r="B31" i="8"/>
  <c r="D31" i="8"/>
  <c r="F31" i="8"/>
  <c r="H31" i="8"/>
  <c r="J31" i="8"/>
  <c r="L31" i="8"/>
  <c r="N36" i="8"/>
  <c r="N56" i="8" s="1"/>
  <c r="N31" i="8" l="1"/>
  <c r="N59" i="8" s="1"/>
  <c r="I47" i="6"/>
  <c r="M42" i="6"/>
  <c r="I42" i="6"/>
  <c r="H43" i="6"/>
  <c r="M37" i="6"/>
  <c r="L37" i="6"/>
  <c r="K37" i="6"/>
  <c r="I37" i="6"/>
  <c r="H37" i="6"/>
  <c r="G37" i="6"/>
  <c r="F37" i="6"/>
  <c r="E37" i="6"/>
  <c r="D37" i="6"/>
  <c r="C37" i="6"/>
  <c r="B37" i="6"/>
  <c r="M35" i="6"/>
  <c r="L35" i="6"/>
  <c r="K35" i="6"/>
  <c r="J35" i="6"/>
  <c r="I35" i="6"/>
  <c r="H35" i="6"/>
  <c r="G35" i="6"/>
  <c r="F35" i="6"/>
  <c r="E35" i="6"/>
  <c r="D35" i="6"/>
  <c r="C35" i="6"/>
  <c r="B35" i="6"/>
  <c r="I41" i="6"/>
  <c r="H41" i="6"/>
  <c r="G41" i="6"/>
  <c r="B36" i="6"/>
  <c r="L23" i="6" l="1"/>
  <c r="I23" i="6"/>
  <c r="F22" i="6"/>
  <c r="I22" i="6"/>
  <c r="H59" i="6" l="1"/>
  <c r="I30" i="6"/>
  <c r="K29" i="6"/>
  <c r="K22" i="6" s="1"/>
  <c r="B22" i="6"/>
  <c r="D22" i="6"/>
  <c r="G22" i="6"/>
  <c r="H22" i="6"/>
  <c r="G59" i="6" s="1"/>
  <c r="J22" i="6"/>
  <c r="L22" i="6"/>
  <c r="K59" i="6" s="1"/>
  <c r="M22" i="6"/>
  <c r="K23" i="6"/>
  <c r="J23" i="6"/>
  <c r="H23" i="6"/>
  <c r="G23" i="6"/>
  <c r="F23" i="6"/>
  <c r="F30" i="6" s="1"/>
  <c r="E23" i="6"/>
  <c r="D59" i="6" s="1"/>
  <c r="D23" i="6"/>
  <c r="C23" i="6"/>
  <c r="B59" i="6" s="1"/>
  <c r="B23" i="6"/>
  <c r="N6" i="6"/>
  <c r="N21" i="6"/>
  <c r="N25" i="6"/>
  <c r="N20" i="6"/>
  <c r="N18" i="6"/>
  <c r="N19" i="6"/>
  <c r="N15" i="6"/>
  <c r="N13" i="6"/>
  <c r="N14" i="6"/>
  <c r="N63" i="6"/>
  <c r="N58" i="6"/>
  <c r="N57" i="6"/>
  <c r="L52" i="6"/>
  <c r="J52" i="6"/>
  <c r="F52" i="6"/>
  <c r="D52" i="6"/>
  <c r="B52" i="6"/>
  <c r="N51" i="6"/>
  <c r="N50" i="6"/>
  <c r="N49" i="6"/>
  <c r="N48" i="6"/>
  <c r="N47" i="6"/>
  <c r="H52" i="6"/>
  <c r="N46" i="6"/>
  <c r="N45" i="6"/>
  <c r="N44" i="6"/>
  <c r="N43" i="6"/>
  <c r="N42" i="6"/>
  <c r="G52" i="6"/>
  <c r="N41" i="6"/>
  <c r="E52" i="6"/>
  <c r="N40" i="6"/>
  <c r="N39" i="6"/>
  <c r="C52" i="6"/>
  <c r="N38" i="6"/>
  <c r="N37" i="6"/>
  <c r="N36" i="6"/>
  <c r="M52" i="6"/>
  <c r="K52" i="6"/>
  <c r="I52" i="6"/>
  <c r="N34" i="6"/>
  <c r="N28" i="6"/>
  <c r="N27" i="6"/>
  <c r="N26" i="6"/>
  <c r="N24" i="6"/>
  <c r="N17" i="6"/>
  <c r="N16" i="6"/>
  <c r="N12" i="6"/>
  <c r="N11" i="6"/>
  <c r="N10" i="6"/>
  <c r="N9" i="6"/>
  <c r="N8" i="6"/>
  <c r="N7" i="6"/>
  <c r="J59" i="6" l="1"/>
  <c r="M30" i="6"/>
  <c r="L59" i="6"/>
  <c r="F59" i="6"/>
  <c r="C59" i="6"/>
  <c r="N59" i="6" s="1"/>
  <c r="I59" i="6"/>
  <c r="M56" i="2"/>
  <c r="E59" i="6"/>
  <c r="C30" i="6"/>
  <c r="L30" i="6"/>
  <c r="H30" i="6"/>
  <c r="D30" i="6"/>
  <c r="E30" i="6"/>
  <c r="N29" i="6"/>
  <c r="K30" i="6"/>
  <c r="J30" i="6"/>
  <c r="G30" i="6"/>
  <c r="B30" i="6"/>
  <c r="N23" i="6"/>
  <c r="N61" i="6"/>
  <c r="N62" i="6"/>
  <c r="N22" i="6"/>
  <c r="N30" i="6" s="1"/>
  <c r="N35" i="6"/>
  <c r="N34" i="1"/>
  <c r="N35" i="1"/>
  <c r="N36" i="1"/>
  <c r="N52" i="6" l="1"/>
  <c r="N55" i="6" s="1"/>
  <c r="N54" i="2"/>
  <c r="F58" i="2"/>
  <c r="N58" i="2" s="1"/>
  <c r="N60" i="2"/>
  <c r="H58" i="2"/>
  <c r="H59" i="2"/>
  <c r="F59" i="2"/>
  <c r="B49" i="2"/>
  <c r="N30" i="2"/>
  <c r="N38" i="2"/>
  <c r="N35" i="2"/>
  <c r="J34" i="2"/>
  <c r="I34" i="2"/>
  <c r="F34" i="2"/>
  <c r="M27" i="2"/>
  <c r="M49" i="2" s="1"/>
  <c r="L27" i="2"/>
  <c r="L49" i="2" s="1"/>
  <c r="K27" i="2"/>
  <c r="J27" i="2"/>
  <c r="J49" i="2" s="1"/>
  <c r="I27" i="2"/>
  <c r="N28" i="2"/>
  <c r="N29" i="2"/>
  <c r="K34" i="2"/>
  <c r="H34" i="2"/>
  <c r="G34" i="2"/>
  <c r="G49" i="2" s="1"/>
  <c r="E34" i="2"/>
  <c r="E33" i="2"/>
  <c r="E49" i="2" s="1"/>
  <c r="D33" i="2"/>
  <c r="D49" i="2" s="1"/>
  <c r="M16" i="2"/>
  <c r="L16" i="2"/>
  <c r="H16" i="2"/>
  <c r="G16" i="2"/>
  <c r="F56" i="2" s="1"/>
  <c r="F16" i="2"/>
  <c r="N16" i="2" s="1"/>
  <c r="N10" i="2"/>
  <c r="N8" i="2"/>
  <c r="N6" i="2"/>
  <c r="N12" i="2"/>
  <c r="N19" i="2"/>
  <c r="F57" i="2" l="1"/>
  <c r="N59" i="2"/>
  <c r="H57" i="2"/>
  <c r="N33" i="2"/>
  <c r="N34" i="2"/>
  <c r="F49" i="2"/>
  <c r="N27" i="2"/>
  <c r="K49" i="2"/>
  <c r="N46" i="2"/>
  <c r="N44" i="2"/>
  <c r="N45" i="2"/>
  <c r="N47" i="2"/>
  <c r="I43" i="2"/>
  <c r="I49" i="2" s="1"/>
  <c r="H43" i="2"/>
  <c r="N36" i="2"/>
  <c r="N37" i="2"/>
  <c r="N39" i="2"/>
  <c r="N40" i="2"/>
  <c r="N41" i="2"/>
  <c r="N42" i="2"/>
  <c r="N48" i="2"/>
  <c r="C32" i="2"/>
  <c r="N32" i="2" s="1"/>
  <c r="C31" i="2"/>
  <c r="C49" i="2" s="1"/>
  <c r="H15" i="2"/>
  <c r="G56" i="2" s="1"/>
  <c r="J21" i="2"/>
  <c r="N21" i="2" s="1"/>
  <c r="N20" i="2"/>
  <c r="M15" i="2"/>
  <c r="L56" i="2" s="1"/>
  <c r="L15" i="2"/>
  <c r="K56" i="2" s="1"/>
  <c r="K15" i="2"/>
  <c r="J56" i="2" s="1"/>
  <c r="I15" i="2"/>
  <c r="H56" i="2" s="1"/>
  <c r="F15" i="2"/>
  <c r="E56" i="2" s="1"/>
  <c r="E15" i="2"/>
  <c r="D56" i="2" s="1"/>
  <c r="C15" i="2"/>
  <c r="B56" i="2" s="1"/>
  <c r="B15" i="2"/>
  <c r="M32" i="1" s="1"/>
  <c r="N32" i="1" s="1"/>
  <c r="N9" i="2"/>
  <c r="N11" i="2"/>
  <c r="N17" i="2"/>
  <c r="N18" i="2"/>
  <c r="N55" i="2"/>
  <c r="N26" i="2"/>
  <c r="N7" i="2"/>
  <c r="N5" i="2"/>
  <c r="N4" i="2"/>
  <c r="N43" i="2" l="1"/>
  <c r="N57" i="2"/>
  <c r="C22" i="2"/>
  <c r="E22" i="2"/>
  <c r="I22" i="2"/>
  <c r="L22" i="2"/>
  <c r="H22" i="2"/>
  <c r="H49" i="2"/>
  <c r="B22" i="2"/>
  <c r="D22" i="2"/>
  <c r="F22" i="2"/>
  <c r="K22" i="2"/>
  <c r="M22" i="2"/>
  <c r="G22" i="2"/>
  <c r="J15" i="2"/>
  <c r="I56" i="2" s="1"/>
  <c r="N56" i="2" s="1"/>
  <c r="N31" i="2"/>
  <c r="N31" i="1"/>
  <c r="N15" i="2" l="1"/>
  <c r="N22" i="2" s="1"/>
  <c r="N52" i="2" s="1"/>
  <c r="J22" i="2"/>
  <c r="N49" i="2"/>
  <c r="C27" i="1"/>
  <c r="D27" i="1"/>
  <c r="E27" i="1"/>
  <c r="F27" i="1"/>
  <c r="G27" i="1"/>
  <c r="H27" i="1"/>
  <c r="I27" i="1"/>
  <c r="J27" i="1"/>
  <c r="L27" i="1"/>
  <c r="C15" i="1"/>
  <c r="D15" i="1"/>
  <c r="E15" i="1"/>
  <c r="F15" i="1"/>
  <c r="G15" i="1"/>
  <c r="H15" i="1"/>
  <c r="I15" i="1"/>
  <c r="B15" i="1"/>
  <c r="B27" i="1"/>
  <c r="M21" i="1"/>
  <c r="M27" i="1" s="1"/>
  <c r="M20" i="1"/>
  <c r="K20" i="1"/>
  <c r="N20" i="1" s="1"/>
  <c r="N22" i="1"/>
  <c r="N23" i="1"/>
  <c r="N24" i="1"/>
  <c r="N25" i="1"/>
  <c r="N26" i="1"/>
  <c r="N19" i="1"/>
  <c r="K15" i="1"/>
  <c r="L15" i="1"/>
  <c r="M15" i="1"/>
  <c r="J15" i="1"/>
  <c r="N14" i="1"/>
  <c r="N13" i="1"/>
  <c r="N10" i="1"/>
  <c r="N11" i="1"/>
  <c r="N12" i="1"/>
  <c r="N5" i="1"/>
  <c r="N6" i="1"/>
  <c r="N7" i="1"/>
  <c r="N9" i="1"/>
  <c r="N4" i="1"/>
  <c r="N21" i="1" l="1"/>
  <c r="N27" i="1"/>
  <c r="K27" i="1"/>
  <c r="N15" i="1"/>
  <c r="N30" i="1" s="1"/>
</calcChain>
</file>

<file path=xl/sharedStrings.xml><?xml version="1.0" encoding="utf-8"?>
<sst xmlns="http://schemas.openxmlformats.org/spreadsheetml/2006/main" count="374" uniqueCount="132">
  <si>
    <t>Доходы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</si>
  <si>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</si>
  <si>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</si>
  <si>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</si>
  <si>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</si>
  <si>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</si>
  <si>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</si>
  <si>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</si>
  <si>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</si>
  <si>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</si>
  <si>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</si>
  <si>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</si>
  <si>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</si>
  <si>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Остаток наличных</t>
  </si>
  <si>
    <t>Членские взносы 2014 г</t>
  </si>
  <si>
    <t>Членские взносы 2015 г</t>
  </si>
  <si>
    <t>Членские взносы 2016 г</t>
  </si>
  <si>
    <t>Итого</t>
  </si>
  <si>
    <t>Электроэнергия</t>
  </si>
  <si>
    <t>Вступительный взнос</t>
  </si>
  <si>
    <t>Вывоз мусора-долг 2015 г</t>
  </si>
  <si>
    <t>Земельный налог-долг 2015 г.</t>
  </si>
  <si>
    <t>Итого по месяцам</t>
  </si>
  <si>
    <t>Субботник-долг 2015 г</t>
  </si>
  <si>
    <t>Садовое объединение-долг 2015 г.</t>
  </si>
  <si>
    <t>Статьи доходов</t>
  </si>
  <si>
    <t>Расходы</t>
  </si>
  <si>
    <t>Заработная плата</t>
  </si>
  <si>
    <t>Мосэнергосбыт-электроэнергия</t>
  </si>
  <si>
    <t>Комиссия банкаСБ за эл.эн.</t>
  </si>
  <si>
    <t>Приобретение оргтехники</t>
  </si>
  <si>
    <t>Материалы для хозблока-проводка</t>
  </si>
  <si>
    <t>Корм собакам</t>
  </si>
  <si>
    <t>Работы по вырубке кустарников и деревьев</t>
  </si>
  <si>
    <t>Информационно</t>
  </si>
  <si>
    <t>Начислено эл.энергии</t>
  </si>
  <si>
    <t>август-остаток</t>
  </si>
  <si>
    <t>Остаток ден.ср-в в кассе на конец 2015 г.</t>
  </si>
  <si>
    <t>Остаток наличных на нач.2016 г</t>
  </si>
  <si>
    <t>Магазин-акт за вывоз и утилиз.мусора</t>
  </si>
  <si>
    <t>Магазин-акт за эл.энергию по счетчику</t>
  </si>
  <si>
    <t>Замена провода-ТанКос</t>
  </si>
  <si>
    <t>Счетчики-ТанКос</t>
  </si>
  <si>
    <t>Ремонт крыши в хозблоке, замена стекла</t>
  </si>
  <si>
    <t>Штраф МЧС</t>
  </si>
  <si>
    <t>Полигон-вывоз мусора</t>
  </si>
  <si>
    <t>Комиссия банкаСБ за эл.эн., мусор</t>
  </si>
  <si>
    <t>Нотариальные услуги</t>
  </si>
  <si>
    <t>Сдача отчетности сторон.орг-цией</t>
  </si>
  <si>
    <t>ГСМ(бензин)</t>
  </si>
  <si>
    <t>Приобретение оргтехники, расход.материалов</t>
  </si>
  <si>
    <t>Приобретение противопожарной техники</t>
  </si>
  <si>
    <t>Противопожарный пруд: откачка воды и очистка, планировка грунта</t>
  </si>
  <si>
    <t>Благоустройство противопожарного пруда: сваи для мостика</t>
  </si>
  <si>
    <t>Косьба травы</t>
  </si>
  <si>
    <t>Работы в транформат.будке:замена фидеров</t>
  </si>
  <si>
    <t>Счетчики-ТанКос(наличными)</t>
  </si>
  <si>
    <t>Счетчики-ТанКос(р/сч)</t>
  </si>
  <si>
    <t>Целевой взнос 2016 г(наличными)</t>
  </si>
  <si>
    <t>Целевой взнос 2016 г(р/сч)</t>
  </si>
  <si>
    <t>Членские взносы 2015 г(наличными)</t>
  </si>
  <si>
    <t>Членские взносы 2015 г(р/сч)</t>
  </si>
  <si>
    <t>Членские взносы 2016 г(наличными)</t>
  </si>
  <si>
    <t>Членские взносы 2016 г(р/сч)</t>
  </si>
  <si>
    <t>Членские взносы 2017 г(наличными)</t>
  </si>
  <si>
    <t>Членские взносы 2017 г(р/сч)</t>
  </si>
  <si>
    <t>Электроэнергия(наличными)</t>
  </si>
  <si>
    <t>Электроэнергия(р/сч)</t>
  </si>
  <si>
    <t>Земельный налог за 2015 г</t>
  </si>
  <si>
    <t>Комиссия банка СБ:открытие счета</t>
  </si>
  <si>
    <t>Комиссия банка СБ:Сбербанк Бизнес Л@йн, прием наличных</t>
  </si>
  <si>
    <t>Налоги с з/п, НДФЛ</t>
  </si>
  <si>
    <t>Электронная отчетность(СБИС) год.обслуж.</t>
  </si>
  <si>
    <t>Мосэнергосбыт-электроэнергия(пеня)</t>
  </si>
  <si>
    <t>Остаток ден.ср-в в кассе на конец 2016 г.</t>
  </si>
  <si>
    <t>Остаток ден.ср-в на р/сч на конец 2016 г.</t>
  </si>
  <si>
    <t>Выплата з/п</t>
  </si>
  <si>
    <t>Председатель</t>
  </si>
  <si>
    <t>Бухгалтер</t>
  </si>
  <si>
    <t>Сторож</t>
  </si>
  <si>
    <t>Сдана инкассация в банк</t>
  </si>
  <si>
    <t>Остаток ден.ср-в в кассе на начало 2017 г.</t>
  </si>
  <si>
    <t>Остаток ден.ср-в на р/сч на начало 2017 г.</t>
  </si>
  <si>
    <t>Членские взносы 2018 г(наличными)</t>
  </si>
  <si>
    <t>Членские взносы 2018 г(р/сч)</t>
  </si>
  <si>
    <t>Членские взносы 2019 г(наличными)</t>
  </si>
  <si>
    <t>Целевой взнос 2017 г(наличными)</t>
  </si>
  <si>
    <t>Целевой взнос 2017 г(р/сч)</t>
  </si>
  <si>
    <t>Целевой взнос 2017 г. эл.эн.(наличными)</t>
  </si>
  <si>
    <t>Замена провода-ТанКос(наличными)</t>
  </si>
  <si>
    <t>Замена провода-ТанКос(р/сч)</t>
  </si>
  <si>
    <t>Целевой взнос 2017 г. эл.эн.(р/сч)</t>
  </si>
  <si>
    <t>Членские взносы 2014 г(р/сч)</t>
  </si>
  <si>
    <t>Остаток ден.ср-в в кассе на конец 2017 г.</t>
  </si>
  <si>
    <t>Остаток ден.ср-в на р/сч на конец 2017 г.</t>
  </si>
  <si>
    <t>Земельный налог за 2015-2016 гг+пени</t>
  </si>
  <si>
    <t>Хозрасходы</t>
  </si>
  <si>
    <t>Работы в зоне мусорной площадки</t>
  </si>
  <si>
    <t>Работы в зоне противопожарного пруда</t>
  </si>
  <si>
    <t>Работы по окашеванию обществ.дорог</t>
  </si>
  <si>
    <t>Работы в транформат.будке:замена счетчика/детали</t>
  </si>
  <si>
    <t>Счетчики-ТанКос/замена проводов/отключение</t>
  </si>
  <si>
    <t>Остаток ден.ср-в в кассе на начало 2018 г.</t>
  </si>
  <si>
    <t>Остаток ден.ср-в на р/сч на начало 2018 г.</t>
  </si>
  <si>
    <t>Членские взносы 2019 г(р/сч)</t>
  </si>
  <si>
    <t>Целевой взнос 2018 г(наличными)</t>
  </si>
  <si>
    <t>Целевой взнос 2018 г(р/сч)</t>
  </si>
  <si>
    <t>Целевой взнос 2018 г</t>
  </si>
  <si>
    <t>Выплата з/п итого</t>
  </si>
  <si>
    <t>Движение денежных средств за 2015 год</t>
  </si>
  <si>
    <t>Дефицит по эл.энергии/(+)дефицит,(-)избыток</t>
  </si>
  <si>
    <t>Дефицит по эл.энергии/(+)дефицит,                   (-) избыток</t>
  </si>
  <si>
    <t>Дефицит по эл.энергии/(+)дефицит,              (-)избыток</t>
  </si>
  <si>
    <t>Вывоз мусора</t>
  </si>
  <si>
    <t>Земельный налог за 2017 г+пени</t>
  </si>
  <si>
    <t>Бункер для мусора</t>
  </si>
  <si>
    <t>Обслуживание счетчиков</t>
  </si>
  <si>
    <t>Светильники для столбов/датчики движения</t>
  </si>
  <si>
    <t>Остаток ден.ср-в в кассе на конец 2018 г.</t>
  </si>
  <si>
    <t>Остаток ден.ср-в на р/сч на конец 2018 г.</t>
  </si>
  <si>
    <t>Работы в зоне транформат.будки: укрепление основы</t>
  </si>
  <si>
    <t>Работы в зоне противопожарного пруда/мусорной площадки</t>
  </si>
  <si>
    <t>Сотовая связь/сторож</t>
  </si>
  <si>
    <t>Садовое объединение</t>
  </si>
  <si>
    <t>Стеллаж</t>
  </si>
  <si>
    <t>Бензин/поездки МОЭСК, Мосэнерго,Полигон, Чистый город</t>
  </si>
  <si>
    <t>Услуги юристов/изготовление Устава</t>
  </si>
  <si>
    <t>Работы по окашеванию обществ.тер-рий</t>
  </si>
  <si>
    <t>Движение денежных средств за 2016 год</t>
  </si>
  <si>
    <t>Движение денежных средств за 2017 год</t>
  </si>
  <si>
    <t>Обработка тер-рии около трансф.будки</t>
  </si>
  <si>
    <t>Движение денежных средств за 2018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</si>
</sst>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4" fontId="0" fillId="0" borderId="0" xfId="0" applyNumberFormat="1"/>
    <xf numFmtId="0" fontId="0" fillId="0" borderId="1" xfId="0" applyBorder="1"/>
    <xf numFmtId="4" fontId="0" fillId="0" borderId="1" xfId="0" applyNumberFormat="1" applyBorder="1"/>
    <xf numFmtId="0" fontId="1" fillId="0" borderId="1" xfId="0" applyFont="1" applyBorder="1"/>
    <xf numFmtId="4" fontId="1" fillId="0" borderId="1" xfId="0" applyNumberFormat="1" applyFont="1" applyBorder="1"/>
    <xf numFmtId="0" fontId="1" fillId="0" borderId="1" xfId="0" applyFont="1" applyFill="1" applyBorder="1" applyAlignment="1">
      <alignment wrapText="1"/>
    </xf>
    <xf numFmtId="4" fontId="0" fillId="0" borderId="1" xfId="0" applyNumberFormat="1" applyFill="1" applyBorder="1"/>
    <xf numFmtId="4" fontId="1" fillId="0" borderId="0" xfId="0" applyNumberFormat="1" applyFont="1" applyBorder="1"/>
    <xf numFmtId="0" fontId="1" fillId="0" borderId="0" xfId="0" applyFont="1" applyBorder="1"/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/>
    <xf numFmtId="0" fontId="1" fillId="3" borderId="1" xfId="0" applyFont="1" applyFill="1" applyBorder="1"/>
    <xf numFmtId="0" fontId="2" fillId="0" borderId="0" xfId="0" applyFont="1"/>
    <xf numFmtId="0" fontId="2" fillId="0" borderId="0" xfId="0" applyFont="1" applyFill="1" applyBorder="1"/>
    <xf numFmtId="0" fontId="1" fillId="0" borderId="5" xfId="0" applyFont="1" applyFill="1" applyBorder="1" applyAlignment="1">
      <alignment wrapText="1"/>
    </xf>
    <xf numFmtId="0" fontId="0" fillId="0" borderId="2" xfId="0" applyBorder="1"/>
    <xf numFmtId="0" fontId="0" fillId="0" borderId="6" xfId="0" applyBorder="1"/>
    <xf numFmtId="0" fontId="1" fillId="0" borderId="7" xfId="0" applyFont="1" applyFill="1" applyBorder="1" applyAlignment="1">
      <alignment wrapText="1"/>
    </xf>
    <xf numFmtId="0" fontId="0" fillId="0" borderId="3" xfId="0" applyBorder="1"/>
    <xf numFmtId="4" fontId="0" fillId="0" borderId="3" xfId="0" applyNumberFormat="1" applyBorder="1"/>
    <xf numFmtId="4" fontId="0" fillId="0" borderId="4" xfId="0" applyNumberFormat="1" applyBorder="1"/>
    <xf numFmtId="0" fontId="1" fillId="0" borderId="1" xfId="0" applyFont="1" applyFill="1" applyBorder="1"/>
    <xf numFmtId="4" fontId="1" fillId="0" borderId="1" xfId="0" applyNumberFormat="1" applyFont="1" applyFill="1" applyBorder="1"/>
    <xf numFmtId="4" fontId="0" fillId="0" borderId="2" xfId="0" applyNumberFormat="1" applyBorder="1"/>
    <xf numFmtId="4" fontId="0" fillId="0" borderId="6" xfId="0" applyNumberFormat="1" applyBorder="1"/>
    <xf numFmtId="4" fontId="0" fillId="0" borderId="1" xfId="0" applyNumberFormat="1" applyFont="1" applyBorder="1"/>
    <xf numFmtId="0" fontId="1" fillId="0" borderId="1" xfId="0" applyFont="1" applyBorder="1" applyAlignment="1">
      <alignment wrapText="1"/>
    </xf>
    <xf numFmtId="4" fontId="0" fillId="0" borderId="2" xfId="0" applyNumberFormat="1" applyFont="1" applyBorder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4" fontId="1" fillId="0" borderId="3" xfId="0" applyNumberFormat="1" applyFont="1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8" xfId="0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6"/>
  <sheetViews>
    <sheetView zoomScale="70" zoomScaleNormal="70" workbookViewId="0">
      <selection activeCell="A2" sqref="A2"/>
    </sheetView>
  </sheetViews>
  <sheetFormatPr defaultRowHeight="14.25" x14ac:dyDescent="0.45"/>
  <cols>
    <col min="1" max="1" width="39.265625" customWidth="1"/>
    <col min="10" max="10" width="10.86328125" customWidth="1"/>
    <col min="11" max="11" width="13.73046875" customWidth="1"/>
    <col min="12" max="12" width="12.73046875" customWidth="1"/>
    <col min="13" max="13" width="13.265625" customWidth="1"/>
    <col min="14" max="14" width="14.3984375" customWidth="1"/>
    <col min="15" max="15" width="11.265625" customWidth="1"/>
    <col min="16" max="16" width="10.73046875" bestFit="1" customWidth="1"/>
  </cols>
  <sheetData>
    <row r="1" spans="1:16" ht="23.25" x14ac:dyDescent="0.7">
      <c r="A1" s="29" t="s">
        <v>109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</row>
    <row r="2" spans="1:16" ht="21" x14ac:dyDescent="0.65">
      <c r="A2" s="13" t="s">
        <v>0</v>
      </c>
    </row>
    <row r="3" spans="1:16" x14ac:dyDescent="0.45">
      <c r="A3" s="12" t="s">
        <v>25</v>
      </c>
      <c r="B3" s="12" t="s">
        <v>1</v>
      </c>
      <c r="C3" s="12" t="s">
        <v>2</v>
      </c>
      <c r="D3" s="12" t="s">
        <v>3</v>
      </c>
      <c r="E3" s="12" t="s">
        <v>4</v>
      </c>
      <c r="F3" s="12" t="s">
        <v>5</v>
      </c>
      <c r="G3" s="12" t="s">
        <v>6</v>
      </c>
      <c r="H3" s="12" t="s">
        <v>7</v>
      </c>
      <c r="I3" s="12" t="s">
        <v>8</v>
      </c>
      <c r="J3" s="12" t="s">
        <v>9</v>
      </c>
      <c r="K3" s="12" t="s">
        <v>10</v>
      </c>
      <c r="L3" s="12" t="s">
        <v>11</v>
      </c>
      <c r="M3" s="12" t="s">
        <v>12</v>
      </c>
      <c r="N3" s="12" t="s">
        <v>17</v>
      </c>
    </row>
    <row r="4" spans="1:16" x14ac:dyDescent="0.45">
      <c r="A4" s="4" t="s">
        <v>13</v>
      </c>
      <c r="B4" s="3"/>
      <c r="C4" s="3"/>
      <c r="D4" s="3"/>
      <c r="E4" s="3"/>
      <c r="F4" s="3"/>
      <c r="G4" s="3"/>
      <c r="H4" s="3"/>
      <c r="I4" s="3"/>
      <c r="J4" s="3">
        <v>41825.519999999997</v>
      </c>
      <c r="K4" s="3"/>
      <c r="L4" s="3"/>
      <c r="M4" s="3"/>
      <c r="N4" s="5">
        <f>SUM(B4:M4)</f>
        <v>41825.519999999997</v>
      </c>
    </row>
    <row r="5" spans="1:16" x14ac:dyDescent="0.45">
      <c r="A5" s="4" t="s">
        <v>14</v>
      </c>
      <c r="B5" s="3"/>
      <c r="C5" s="3"/>
      <c r="D5" s="3"/>
      <c r="E5" s="3"/>
      <c r="F5" s="3"/>
      <c r="G5" s="3"/>
      <c r="H5" s="3"/>
      <c r="I5" s="7"/>
      <c r="J5" s="7"/>
      <c r="K5" s="7">
        <v>648</v>
      </c>
      <c r="L5" s="7"/>
      <c r="M5" s="7"/>
      <c r="N5" s="23">
        <f t="shared" ref="N5:N14" si="0">SUM(B5:M5)</f>
        <v>648</v>
      </c>
    </row>
    <row r="6" spans="1:16" x14ac:dyDescent="0.45">
      <c r="A6" s="4" t="s">
        <v>15</v>
      </c>
      <c r="B6" s="3"/>
      <c r="C6" s="3"/>
      <c r="D6" s="3"/>
      <c r="E6" s="3"/>
      <c r="F6" s="3"/>
      <c r="G6" s="3"/>
      <c r="H6" s="3"/>
      <c r="I6" s="7"/>
      <c r="J6" s="7">
        <v>22320.98</v>
      </c>
      <c r="K6" s="7">
        <v>53262.53</v>
      </c>
      <c r="L6" s="7">
        <v>12441.61</v>
      </c>
      <c r="M6" s="7">
        <v>24419.7</v>
      </c>
      <c r="N6" s="23">
        <f t="shared" si="0"/>
        <v>112444.81999999999</v>
      </c>
    </row>
    <row r="7" spans="1:16" x14ac:dyDescent="0.45">
      <c r="A7" s="4" t="s">
        <v>16</v>
      </c>
      <c r="B7" s="3"/>
      <c r="C7" s="3"/>
      <c r="D7" s="3"/>
      <c r="E7" s="3"/>
      <c r="F7" s="3"/>
      <c r="G7" s="3"/>
      <c r="H7" s="3"/>
      <c r="I7" s="7"/>
      <c r="J7" s="7"/>
      <c r="K7" s="7">
        <v>8994.17</v>
      </c>
      <c r="L7" s="7"/>
      <c r="M7" s="7">
        <v>46804.800000000003</v>
      </c>
      <c r="N7" s="23">
        <f t="shared" si="0"/>
        <v>55798.97</v>
      </c>
    </row>
    <row r="8" spans="1:16" x14ac:dyDescent="0.45">
      <c r="A8" s="4" t="s">
        <v>107</v>
      </c>
      <c r="B8" s="3"/>
      <c r="C8" s="3"/>
      <c r="D8" s="3"/>
      <c r="E8" s="3"/>
      <c r="F8" s="3"/>
      <c r="G8" s="3"/>
      <c r="H8" s="3"/>
      <c r="I8" s="7"/>
      <c r="J8" s="7"/>
      <c r="K8" s="7">
        <v>6912</v>
      </c>
      <c r="L8" s="7"/>
      <c r="M8" s="7"/>
      <c r="N8" s="23">
        <f t="shared" si="0"/>
        <v>6912</v>
      </c>
    </row>
    <row r="9" spans="1:16" x14ac:dyDescent="0.45">
      <c r="A9" s="4" t="s">
        <v>18</v>
      </c>
      <c r="B9" s="3"/>
      <c r="C9" s="3"/>
      <c r="D9" s="3"/>
      <c r="E9" s="3"/>
      <c r="F9" s="3"/>
      <c r="G9" s="3"/>
      <c r="H9" s="3"/>
      <c r="I9" s="7"/>
      <c r="J9" s="7">
        <f>7841.78+23267.1</f>
        <v>31108.879999999997</v>
      </c>
      <c r="K9" s="7">
        <f>35801.15+30519.63</f>
        <v>66320.78</v>
      </c>
      <c r="L9" s="7">
        <f>21761.97+911.71</f>
        <v>22673.68</v>
      </c>
      <c r="M9" s="7">
        <f>26861.03+8858.87</f>
        <v>35719.9</v>
      </c>
      <c r="N9" s="23">
        <f t="shared" si="0"/>
        <v>155823.24</v>
      </c>
    </row>
    <row r="10" spans="1:16" x14ac:dyDescent="0.45">
      <c r="A10" s="4" t="s">
        <v>19</v>
      </c>
      <c r="B10" s="3"/>
      <c r="C10" s="3"/>
      <c r="D10" s="3"/>
      <c r="E10" s="3"/>
      <c r="F10" s="3"/>
      <c r="G10" s="3"/>
      <c r="H10" s="3"/>
      <c r="I10" s="7"/>
      <c r="J10" s="7"/>
      <c r="K10" s="7">
        <v>500</v>
      </c>
      <c r="L10" s="7"/>
      <c r="M10" s="7"/>
      <c r="N10" s="23">
        <f t="shared" si="0"/>
        <v>500</v>
      </c>
    </row>
    <row r="11" spans="1:16" x14ac:dyDescent="0.45">
      <c r="A11" s="4" t="s">
        <v>20</v>
      </c>
      <c r="B11" s="3"/>
      <c r="C11" s="3"/>
      <c r="D11" s="3"/>
      <c r="E11" s="3"/>
      <c r="F11" s="3"/>
      <c r="G11" s="3"/>
      <c r="H11" s="3"/>
      <c r="I11" s="7"/>
      <c r="J11" s="7"/>
      <c r="K11" s="7">
        <v>3750</v>
      </c>
      <c r="L11" s="7"/>
      <c r="M11" s="7"/>
      <c r="N11" s="23">
        <f t="shared" si="0"/>
        <v>3750</v>
      </c>
    </row>
    <row r="12" spans="1:16" x14ac:dyDescent="0.45">
      <c r="A12" s="4" t="s">
        <v>21</v>
      </c>
      <c r="B12" s="3"/>
      <c r="C12" s="3"/>
      <c r="D12" s="3"/>
      <c r="E12" s="3"/>
      <c r="F12" s="3"/>
      <c r="G12" s="3"/>
      <c r="H12" s="3"/>
      <c r="I12" s="7"/>
      <c r="J12" s="7"/>
      <c r="K12" s="7">
        <v>700</v>
      </c>
      <c r="L12" s="7"/>
      <c r="M12" s="7"/>
      <c r="N12" s="23">
        <f t="shared" si="0"/>
        <v>700</v>
      </c>
    </row>
    <row r="13" spans="1:16" x14ac:dyDescent="0.45">
      <c r="A13" s="4" t="s">
        <v>23</v>
      </c>
      <c r="B13" s="3"/>
      <c r="C13" s="3"/>
      <c r="D13" s="3"/>
      <c r="E13" s="3"/>
      <c r="F13" s="3"/>
      <c r="G13" s="3"/>
      <c r="H13" s="3"/>
      <c r="I13" s="7"/>
      <c r="J13" s="7"/>
      <c r="K13" s="7">
        <v>300</v>
      </c>
      <c r="L13" s="7"/>
      <c r="M13" s="7"/>
      <c r="N13" s="23">
        <f t="shared" si="0"/>
        <v>300</v>
      </c>
    </row>
    <row r="14" spans="1:16" x14ac:dyDescent="0.45">
      <c r="A14" s="4" t="s">
        <v>24</v>
      </c>
      <c r="B14" s="3"/>
      <c r="C14" s="3"/>
      <c r="D14" s="3"/>
      <c r="E14" s="3"/>
      <c r="F14" s="3"/>
      <c r="G14" s="3"/>
      <c r="H14" s="3"/>
      <c r="I14" s="7"/>
      <c r="J14" s="7"/>
      <c r="K14" s="7">
        <v>70</v>
      </c>
      <c r="L14" s="7"/>
      <c r="M14" s="7"/>
      <c r="N14" s="23">
        <f t="shared" si="0"/>
        <v>70</v>
      </c>
    </row>
    <row r="15" spans="1:16" x14ac:dyDescent="0.45">
      <c r="A15" s="4" t="s">
        <v>22</v>
      </c>
      <c r="B15" s="5">
        <f>SUM(B4:B14)</f>
        <v>0</v>
      </c>
      <c r="C15" s="5">
        <f t="shared" ref="C15:I15" si="1">SUM(C4:C14)</f>
        <v>0</v>
      </c>
      <c r="D15" s="5">
        <f t="shared" si="1"/>
        <v>0</v>
      </c>
      <c r="E15" s="5">
        <f t="shared" si="1"/>
        <v>0</v>
      </c>
      <c r="F15" s="5">
        <f t="shared" si="1"/>
        <v>0</v>
      </c>
      <c r="G15" s="5">
        <f t="shared" si="1"/>
        <v>0</v>
      </c>
      <c r="H15" s="5">
        <f t="shared" si="1"/>
        <v>0</v>
      </c>
      <c r="I15" s="5">
        <f t="shared" si="1"/>
        <v>0</v>
      </c>
      <c r="J15" s="5">
        <f>SUM(J4:J14)</f>
        <v>95255.38</v>
      </c>
      <c r="K15" s="5">
        <f t="shared" ref="K15:N15" si="2">SUM(K4:K14)</f>
        <v>141457.47999999998</v>
      </c>
      <c r="L15" s="5">
        <f t="shared" si="2"/>
        <v>35115.29</v>
      </c>
      <c r="M15" s="5">
        <f t="shared" si="2"/>
        <v>106944.4</v>
      </c>
      <c r="N15" s="5">
        <f t="shared" si="2"/>
        <v>378772.55</v>
      </c>
      <c r="P15" s="1"/>
    </row>
    <row r="16" spans="1:16" x14ac:dyDescent="0.45"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</row>
    <row r="17" spans="1:15" ht="21" x14ac:dyDescent="0.65">
      <c r="A17" s="14" t="s">
        <v>26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</row>
    <row r="18" spans="1:15" x14ac:dyDescent="0.45">
      <c r="A18" s="12" t="s">
        <v>25</v>
      </c>
      <c r="B18" s="12" t="s">
        <v>1</v>
      </c>
      <c r="C18" s="12" t="s">
        <v>2</v>
      </c>
      <c r="D18" s="12" t="s">
        <v>3</v>
      </c>
      <c r="E18" s="12" t="s">
        <v>4</v>
      </c>
      <c r="F18" s="12" t="s">
        <v>5</v>
      </c>
      <c r="G18" s="12" t="s">
        <v>6</v>
      </c>
      <c r="H18" s="12" t="s">
        <v>7</v>
      </c>
      <c r="I18" s="12" t="s">
        <v>8</v>
      </c>
      <c r="J18" s="12" t="s">
        <v>9</v>
      </c>
      <c r="K18" s="12" t="s">
        <v>10</v>
      </c>
      <c r="L18" s="12" t="s">
        <v>11</v>
      </c>
      <c r="M18" s="12" t="s">
        <v>12</v>
      </c>
      <c r="N18" s="12" t="s">
        <v>17</v>
      </c>
    </row>
    <row r="19" spans="1:15" x14ac:dyDescent="0.45">
      <c r="A19" s="6" t="s">
        <v>27</v>
      </c>
      <c r="B19" s="3"/>
      <c r="C19" s="3"/>
      <c r="D19" s="3"/>
      <c r="E19" s="3"/>
      <c r="F19" s="3"/>
      <c r="G19" s="3"/>
      <c r="H19" s="3"/>
      <c r="I19" s="3"/>
      <c r="J19" s="3"/>
      <c r="K19" s="3">
        <v>20000</v>
      </c>
      <c r="L19" s="3">
        <v>9200</v>
      </c>
      <c r="M19" s="3">
        <v>30800</v>
      </c>
      <c r="N19" s="5">
        <f>SUM(B19:M19)</f>
        <v>60000</v>
      </c>
    </row>
    <row r="20" spans="1:15" x14ac:dyDescent="0.45">
      <c r="A20" s="6" t="s">
        <v>28</v>
      </c>
      <c r="B20" s="3"/>
      <c r="C20" s="3"/>
      <c r="D20" s="3"/>
      <c r="E20" s="3"/>
      <c r="F20" s="3"/>
      <c r="G20" s="3"/>
      <c r="H20" s="3"/>
      <c r="I20" s="3"/>
      <c r="J20" s="3"/>
      <c r="K20" s="3">
        <f>8569.64+90287.2</f>
        <v>98856.84</v>
      </c>
      <c r="L20" s="3">
        <v>83140.87</v>
      </c>
      <c r="M20" s="3">
        <f>33827.47+18061.97</f>
        <v>51889.440000000002</v>
      </c>
      <c r="N20" s="5">
        <f t="shared" ref="N20:N26" si="3">SUM(B20:M20)</f>
        <v>233887.15</v>
      </c>
    </row>
    <row r="21" spans="1:15" x14ac:dyDescent="0.45">
      <c r="A21" s="6" t="s">
        <v>29</v>
      </c>
      <c r="B21" s="3"/>
      <c r="C21" s="3"/>
      <c r="D21" s="3"/>
      <c r="E21" s="3"/>
      <c r="F21" s="3"/>
      <c r="G21" s="3"/>
      <c r="H21" s="3"/>
      <c r="I21" s="3"/>
      <c r="J21" s="3"/>
      <c r="K21" s="3">
        <v>500</v>
      </c>
      <c r="L21" s="3">
        <v>500</v>
      </c>
      <c r="M21" s="3">
        <f>338.27+180.62</f>
        <v>518.89</v>
      </c>
      <c r="N21" s="5">
        <f t="shared" si="3"/>
        <v>1518.8899999999999</v>
      </c>
    </row>
    <row r="22" spans="1:15" x14ac:dyDescent="0.45">
      <c r="A22" s="6" t="s">
        <v>30</v>
      </c>
      <c r="B22" s="2"/>
      <c r="C22" s="2"/>
      <c r="D22" s="2"/>
      <c r="E22" s="2"/>
      <c r="F22" s="2"/>
      <c r="G22" s="2"/>
      <c r="H22" s="2"/>
      <c r="I22" s="2"/>
      <c r="J22" s="2"/>
      <c r="K22" s="2">
        <v>3000</v>
      </c>
      <c r="L22" s="2"/>
      <c r="M22" s="2"/>
      <c r="N22" s="5">
        <f t="shared" si="3"/>
        <v>3000</v>
      </c>
    </row>
    <row r="23" spans="1:15" ht="15" customHeight="1" x14ac:dyDescent="0.45">
      <c r="A23" s="6" t="s">
        <v>31</v>
      </c>
      <c r="B23" s="2"/>
      <c r="C23" s="2"/>
      <c r="D23" s="2"/>
      <c r="E23" s="2"/>
      <c r="F23" s="2"/>
      <c r="G23" s="2"/>
      <c r="H23" s="2"/>
      <c r="I23" s="2"/>
      <c r="J23" s="2"/>
      <c r="K23" s="7">
        <v>857</v>
      </c>
      <c r="L23" s="2"/>
      <c r="M23" s="2"/>
      <c r="N23" s="5">
        <f t="shared" si="3"/>
        <v>857</v>
      </c>
    </row>
    <row r="24" spans="1:15" x14ac:dyDescent="0.45">
      <c r="A24" s="6" t="s">
        <v>32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3">
        <v>3000</v>
      </c>
      <c r="M24" s="2">
        <v>6000</v>
      </c>
      <c r="N24" s="5">
        <f t="shared" si="3"/>
        <v>9000</v>
      </c>
    </row>
    <row r="25" spans="1:15" ht="18" customHeight="1" x14ac:dyDescent="0.45">
      <c r="A25" s="6" t="s">
        <v>130</v>
      </c>
      <c r="B25" s="2"/>
      <c r="C25" s="2"/>
      <c r="D25" s="2"/>
      <c r="E25" s="2"/>
      <c r="F25" s="2"/>
      <c r="G25" s="2"/>
      <c r="H25" s="2"/>
      <c r="I25" s="2"/>
      <c r="J25" s="2"/>
      <c r="K25" s="7">
        <v>7000</v>
      </c>
      <c r="L25" s="2"/>
      <c r="M25" s="2"/>
      <c r="N25" s="5">
        <f t="shared" si="3"/>
        <v>7000</v>
      </c>
    </row>
    <row r="26" spans="1:15" x14ac:dyDescent="0.45">
      <c r="A26" s="6" t="s">
        <v>33</v>
      </c>
      <c r="B26" s="2"/>
      <c r="C26" s="2"/>
      <c r="D26" s="2"/>
      <c r="E26" s="2"/>
      <c r="F26" s="2"/>
      <c r="G26" s="2"/>
      <c r="H26" s="2"/>
      <c r="I26" s="2"/>
      <c r="J26" s="2"/>
      <c r="K26" s="2">
        <v>3000</v>
      </c>
      <c r="L26" s="2"/>
      <c r="M26" s="2"/>
      <c r="N26" s="5">
        <f t="shared" si="3"/>
        <v>3000</v>
      </c>
    </row>
    <row r="27" spans="1:15" x14ac:dyDescent="0.45">
      <c r="A27" s="4" t="s">
        <v>22</v>
      </c>
      <c r="B27" s="5">
        <f>SUM(B19:B26)</f>
        <v>0</v>
      </c>
      <c r="C27" s="5">
        <f t="shared" ref="C27:N27" si="4">SUM(C19:C26)</f>
        <v>0</v>
      </c>
      <c r="D27" s="5">
        <f t="shared" si="4"/>
        <v>0</v>
      </c>
      <c r="E27" s="5">
        <f t="shared" si="4"/>
        <v>0</v>
      </c>
      <c r="F27" s="5">
        <f t="shared" si="4"/>
        <v>0</v>
      </c>
      <c r="G27" s="5">
        <f t="shared" si="4"/>
        <v>0</v>
      </c>
      <c r="H27" s="5">
        <f t="shared" si="4"/>
        <v>0</v>
      </c>
      <c r="I27" s="5">
        <f t="shared" si="4"/>
        <v>0</v>
      </c>
      <c r="J27" s="5">
        <f t="shared" si="4"/>
        <v>0</v>
      </c>
      <c r="K27" s="5">
        <f t="shared" si="4"/>
        <v>133213.84</v>
      </c>
      <c r="L27" s="5">
        <f t="shared" si="4"/>
        <v>95840.87</v>
      </c>
      <c r="M27" s="5">
        <f t="shared" si="4"/>
        <v>89208.33</v>
      </c>
      <c r="N27" s="5">
        <f t="shared" si="4"/>
        <v>318263.04000000004</v>
      </c>
    </row>
    <row r="28" spans="1:15" x14ac:dyDescent="0.45">
      <c r="A28" s="9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</row>
    <row r="29" spans="1:15" ht="29.25" customHeight="1" x14ac:dyDescent="0.45">
      <c r="A29" s="10" t="s">
        <v>34</v>
      </c>
      <c r="B29" s="11" t="s">
        <v>1</v>
      </c>
      <c r="C29" s="11" t="s">
        <v>2</v>
      </c>
      <c r="D29" s="11" t="s">
        <v>3</v>
      </c>
      <c r="E29" s="11" t="s">
        <v>4</v>
      </c>
      <c r="F29" s="11" t="s">
        <v>5</v>
      </c>
      <c r="G29" s="11" t="s">
        <v>6</v>
      </c>
      <c r="H29" s="11" t="s">
        <v>7</v>
      </c>
      <c r="I29" s="10" t="s">
        <v>36</v>
      </c>
      <c r="J29" s="11" t="s">
        <v>9</v>
      </c>
      <c r="K29" s="11" t="s">
        <v>10</v>
      </c>
      <c r="L29" s="11" t="s">
        <v>11</v>
      </c>
      <c r="M29" s="11" t="s">
        <v>12</v>
      </c>
      <c r="N29" s="11" t="s">
        <v>17</v>
      </c>
    </row>
    <row r="30" spans="1:15" x14ac:dyDescent="0.45">
      <c r="A30" s="6" t="s">
        <v>37</v>
      </c>
      <c r="B30" s="2"/>
      <c r="C30" s="2"/>
      <c r="D30" s="2"/>
      <c r="E30" s="2"/>
      <c r="F30" s="2"/>
      <c r="G30" s="2"/>
      <c r="H30" s="2"/>
      <c r="I30" s="2"/>
      <c r="J30" s="3"/>
      <c r="K30" s="3"/>
      <c r="L30" s="3"/>
      <c r="M30" s="3"/>
      <c r="N30" s="5">
        <f>N15-N27</f>
        <v>60509.509999999951</v>
      </c>
    </row>
    <row r="31" spans="1:15" x14ac:dyDescent="0.45">
      <c r="A31" s="6" t="s">
        <v>35</v>
      </c>
      <c r="B31" s="2"/>
      <c r="C31" s="2"/>
      <c r="D31" s="2"/>
      <c r="E31" s="2"/>
      <c r="F31" s="2"/>
      <c r="G31" s="2"/>
      <c r="H31" s="2"/>
      <c r="I31" s="2">
        <v>8569.64</v>
      </c>
      <c r="J31" s="2">
        <v>90287.2</v>
      </c>
      <c r="K31" s="2">
        <v>83140.87</v>
      </c>
      <c r="L31" s="2">
        <v>33827.47</v>
      </c>
      <c r="M31" s="2">
        <v>18061.97</v>
      </c>
      <c r="N31" s="5">
        <f>SUM(B31:M31)</f>
        <v>233887.15</v>
      </c>
    </row>
    <row r="32" spans="1:15" ht="28.5" customHeight="1" x14ac:dyDescent="0.45">
      <c r="A32" s="27" t="s">
        <v>111</v>
      </c>
      <c r="B32" s="19"/>
      <c r="C32" s="19"/>
      <c r="D32" s="19"/>
      <c r="E32" s="19"/>
      <c r="F32" s="19"/>
      <c r="G32" s="19"/>
      <c r="H32" s="19"/>
      <c r="I32" s="19"/>
      <c r="J32" s="20">
        <f>I31+J31-J9-K9</f>
        <v>1427.179999999993</v>
      </c>
      <c r="K32" s="20">
        <f>K31-L9</f>
        <v>60467.189999999995</v>
      </c>
      <c r="L32" s="20">
        <f>L31-M9</f>
        <v>-1892.4300000000003</v>
      </c>
      <c r="M32" s="20">
        <f>M31-'2016'!B15</f>
        <v>16519.77</v>
      </c>
      <c r="N32" s="5">
        <f>SUM(B32:M32)</f>
        <v>76521.709999999992</v>
      </c>
      <c r="O32" s="1"/>
    </row>
    <row r="33" spans="1:14" x14ac:dyDescent="0.45">
      <c r="A33" s="18" t="s">
        <v>108</v>
      </c>
      <c r="B33" s="16"/>
      <c r="C33" s="17"/>
      <c r="D33" s="17"/>
      <c r="E33" s="17"/>
      <c r="F33" s="17"/>
      <c r="G33" s="17"/>
      <c r="H33" s="17"/>
      <c r="I33" s="17"/>
      <c r="J33" s="17"/>
      <c r="K33" s="25">
        <f>K34+K35+K36</f>
        <v>20000</v>
      </c>
      <c r="L33" s="25">
        <f t="shared" ref="L33:M33" si="5">L34+L35+L36</f>
        <v>9200</v>
      </c>
      <c r="M33" s="25">
        <f t="shared" si="5"/>
        <v>30800</v>
      </c>
      <c r="N33" s="5">
        <f>SUM(B33:M33)</f>
        <v>60000</v>
      </c>
    </row>
    <row r="34" spans="1:14" x14ac:dyDescent="0.45">
      <c r="A34" s="6" t="s">
        <v>77</v>
      </c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3">
        <f>SUM(K34:M34)</f>
        <v>0</v>
      </c>
    </row>
    <row r="35" spans="1:14" x14ac:dyDescent="0.45">
      <c r="A35" s="6" t="s">
        <v>78</v>
      </c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>
        <f t="shared" ref="N35:N36" si="6">SUM(K35:M35)</f>
        <v>0</v>
      </c>
    </row>
    <row r="36" spans="1:14" x14ac:dyDescent="0.45">
      <c r="A36" s="6" t="s">
        <v>79</v>
      </c>
      <c r="B36" s="3"/>
      <c r="C36" s="3"/>
      <c r="D36" s="3"/>
      <c r="E36" s="3"/>
      <c r="F36" s="3"/>
      <c r="G36" s="3"/>
      <c r="H36" s="3"/>
      <c r="I36" s="3"/>
      <c r="J36" s="3"/>
      <c r="K36" s="3">
        <v>20000</v>
      </c>
      <c r="L36" s="3">
        <v>9200</v>
      </c>
      <c r="M36" s="3">
        <v>30800</v>
      </c>
      <c r="N36" s="3">
        <f t="shared" si="6"/>
        <v>60000</v>
      </c>
    </row>
  </sheetData>
  <mergeCells count="1">
    <mergeCell ref="A1:N1"/>
  </mergeCells>
  <pageMargins left="0.7" right="0.7" top="0.75" bottom="0.75" header="0.3" footer="0.3"/>
  <pageSetup paperSize="9" scale="73" orientation="landscape" r:id="rId1"/>
  <colBreaks count="1" manualBreakCount="1">
    <brk id="14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61"/>
  <sheetViews>
    <sheetView zoomScale="70" zoomScaleNormal="70" workbookViewId="0">
      <selection activeCell="A2" sqref="A2"/>
    </sheetView>
  </sheetViews>
  <sheetFormatPr defaultRowHeight="14.25" x14ac:dyDescent="0.45"/>
  <cols>
    <col min="1" max="1" width="47.3984375" customWidth="1"/>
    <col min="2" max="2" width="13.265625" customWidth="1"/>
    <col min="3" max="3" width="11.59765625" customWidth="1"/>
    <col min="4" max="4" width="10.86328125" customWidth="1"/>
    <col min="5" max="5" width="11.3984375" customWidth="1"/>
    <col min="6" max="6" width="13.1328125" customWidth="1"/>
    <col min="7" max="7" width="12" customWidth="1"/>
    <col min="8" max="8" width="12.86328125" customWidth="1"/>
    <col min="9" max="10" width="12.59765625" customWidth="1"/>
    <col min="11" max="11" width="13.73046875" customWidth="1"/>
    <col min="12" max="12" width="12.73046875" customWidth="1"/>
    <col min="13" max="13" width="13.265625" customWidth="1"/>
    <col min="14" max="14" width="14.3984375" customWidth="1"/>
    <col min="15" max="15" width="21.3984375" customWidth="1"/>
    <col min="16" max="16" width="10.73046875" bestFit="1" customWidth="1"/>
  </cols>
  <sheetData>
    <row r="1" spans="1:14" ht="23.25" x14ac:dyDescent="0.7">
      <c r="A1" s="29" t="s">
        <v>128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</row>
    <row r="2" spans="1:14" ht="21" x14ac:dyDescent="0.65">
      <c r="A2" s="13" t="s">
        <v>0</v>
      </c>
    </row>
    <row r="3" spans="1:14" x14ac:dyDescent="0.45">
      <c r="A3" s="12" t="s">
        <v>25</v>
      </c>
      <c r="B3" s="12" t="s">
        <v>1</v>
      </c>
      <c r="C3" s="12" t="s">
        <v>2</v>
      </c>
      <c r="D3" s="12" t="s">
        <v>3</v>
      </c>
      <c r="E3" s="12" t="s">
        <v>4</v>
      </c>
      <c r="F3" s="12" t="s">
        <v>5</v>
      </c>
      <c r="G3" s="12" t="s">
        <v>6</v>
      </c>
      <c r="H3" s="12" t="s">
        <v>7</v>
      </c>
      <c r="I3" s="12" t="s">
        <v>8</v>
      </c>
      <c r="J3" s="12" t="s">
        <v>9</v>
      </c>
      <c r="K3" s="12" t="s">
        <v>10</v>
      </c>
      <c r="L3" s="12" t="s">
        <v>11</v>
      </c>
      <c r="M3" s="12" t="s">
        <v>12</v>
      </c>
      <c r="N3" s="12" t="s">
        <v>17</v>
      </c>
    </row>
    <row r="4" spans="1:14" x14ac:dyDescent="0.45">
      <c r="A4" s="4" t="s">
        <v>38</v>
      </c>
      <c r="B4" s="3">
        <v>60509.51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5">
        <f>SUM(B4:M4)</f>
        <v>60509.51</v>
      </c>
    </row>
    <row r="5" spans="1:14" x14ac:dyDescent="0.45">
      <c r="A5" s="4" t="s">
        <v>60</v>
      </c>
      <c r="B5" s="3">
        <v>6054.75</v>
      </c>
      <c r="C5" s="3">
        <v>3312</v>
      </c>
      <c r="D5" s="3">
        <v>7038.75</v>
      </c>
      <c r="E5" s="3">
        <v>2808</v>
      </c>
      <c r="F5" s="3">
        <v>16288.03</v>
      </c>
      <c r="G5" s="3">
        <v>4282.5</v>
      </c>
      <c r="H5" s="3">
        <v>2682.75</v>
      </c>
      <c r="I5" s="3"/>
      <c r="J5" s="3">
        <v>1670.25</v>
      </c>
      <c r="K5" s="3"/>
      <c r="L5" s="3"/>
      <c r="M5" s="3"/>
      <c r="N5" s="5">
        <f t="shared" ref="N5:N21" si="0">SUM(B5:M5)</f>
        <v>44137.03</v>
      </c>
    </row>
    <row r="6" spans="1:14" x14ac:dyDescent="0.45">
      <c r="A6" s="4" t="s">
        <v>61</v>
      </c>
      <c r="B6" s="3"/>
      <c r="C6" s="3"/>
      <c r="D6" s="3"/>
      <c r="E6" s="3">
        <v>2877.75</v>
      </c>
      <c r="F6" s="3">
        <v>2463.75</v>
      </c>
      <c r="G6" s="3">
        <v>3169.5</v>
      </c>
      <c r="H6" s="3">
        <v>675</v>
      </c>
      <c r="I6" s="3"/>
      <c r="J6" s="3">
        <v>2149.5</v>
      </c>
      <c r="K6" s="3">
        <v>600</v>
      </c>
      <c r="L6" s="3"/>
      <c r="M6" s="3">
        <v>540</v>
      </c>
      <c r="N6" s="5">
        <f t="shared" si="0"/>
        <v>12475.5</v>
      </c>
    </row>
    <row r="7" spans="1:14" x14ac:dyDescent="0.45">
      <c r="A7" s="4" t="s">
        <v>62</v>
      </c>
      <c r="B7" s="7">
        <v>55865.2</v>
      </c>
      <c r="C7" s="7">
        <v>39460.800000000003</v>
      </c>
      <c r="D7" s="7">
        <v>39449.35</v>
      </c>
      <c r="E7" s="7">
        <v>12609.6</v>
      </c>
      <c r="F7" s="7">
        <v>117746.5</v>
      </c>
      <c r="G7" s="7">
        <v>79633.2</v>
      </c>
      <c r="H7" s="7">
        <v>118314.8</v>
      </c>
      <c r="I7" s="7">
        <v>39769.85</v>
      </c>
      <c r="J7" s="7">
        <v>21931.15</v>
      </c>
      <c r="K7" s="7">
        <v>6720</v>
      </c>
      <c r="L7" s="7"/>
      <c r="M7" s="3"/>
      <c r="N7" s="5">
        <f t="shared" si="0"/>
        <v>531500.44999999995</v>
      </c>
    </row>
    <row r="8" spans="1:14" x14ac:dyDescent="0.45">
      <c r="A8" s="4" t="s">
        <v>63</v>
      </c>
      <c r="B8" s="3"/>
      <c r="C8" s="3"/>
      <c r="D8" s="3">
        <v>3456</v>
      </c>
      <c r="E8" s="3">
        <v>23536.799999999999</v>
      </c>
      <c r="F8" s="3">
        <v>23370</v>
      </c>
      <c r="G8" s="3">
        <v>28830</v>
      </c>
      <c r="H8" s="3">
        <v>23070.6</v>
      </c>
      <c r="I8" s="3">
        <v>11316.88</v>
      </c>
      <c r="J8" s="3">
        <v>17793.8</v>
      </c>
      <c r="K8" s="3">
        <v>11822.4</v>
      </c>
      <c r="L8" s="3">
        <v>3456</v>
      </c>
      <c r="M8" s="3">
        <v>25184</v>
      </c>
      <c r="N8" s="5">
        <f t="shared" si="0"/>
        <v>171836.47999999998</v>
      </c>
    </row>
    <row r="9" spans="1:14" x14ac:dyDescent="0.45">
      <c r="A9" s="4" t="s">
        <v>64</v>
      </c>
      <c r="B9" s="3"/>
      <c r="C9" s="3"/>
      <c r="D9" s="3"/>
      <c r="E9" s="3"/>
      <c r="F9" s="3"/>
      <c r="G9" s="3">
        <v>1944</v>
      </c>
      <c r="H9" s="3">
        <v>3888</v>
      </c>
      <c r="I9" s="3">
        <v>4390.8</v>
      </c>
      <c r="J9" s="3">
        <v>6600</v>
      </c>
      <c r="K9" s="3"/>
      <c r="L9" s="3"/>
      <c r="M9" s="3">
        <v>7128</v>
      </c>
      <c r="N9" s="5">
        <f t="shared" si="0"/>
        <v>23950.799999999999</v>
      </c>
    </row>
    <row r="10" spans="1:14" x14ac:dyDescent="0.45">
      <c r="A10" s="4" t="s">
        <v>65</v>
      </c>
      <c r="B10" s="3"/>
      <c r="C10" s="3"/>
      <c r="D10" s="3"/>
      <c r="E10" s="3"/>
      <c r="F10" s="3"/>
      <c r="G10" s="3"/>
      <c r="H10" s="3"/>
      <c r="I10" s="3"/>
      <c r="J10" s="3">
        <v>6516</v>
      </c>
      <c r="K10" s="3"/>
      <c r="L10" s="3">
        <v>3456</v>
      </c>
      <c r="M10" s="3">
        <v>106267.4</v>
      </c>
      <c r="N10" s="5">
        <f t="shared" si="0"/>
        <v>116239.4</v>
      </c>
    </row>
    <row r="11" spans="1:14" x14ac:dyDescent="0.45">
      <c r="A11" s="4" t="s">
        <v>58</v>
      </c>
      <c r="B11" s="3"/>
      <c r="C11" s="3"/>
      <c r="D11" s="3"/>
      <c r="E11" s="3"/>
      <c r="F11" s="3"/>
      <c r="G11" s="3"/>
      <c r="H11" s="3">
        <v>176158</v>
      </c>
      <c r="I11" s="3">
        <v>128826.4</v>
      </c>
      <c r="J11" s="3">
        <v>16172</v>
      </c>
      <c r="K11" s="3">
        <v>25540</v>
      </c>
      <c r="L11" s="3"/>
      <c r="M11" s="3">
        <v>5760</v>
      </c>
      <c r="N11" s="5">
        <f t="shared" si="0"/>
        <v>352456.4</v>
      </c>
    </row>
    <row r="12" spans="1:14" x14ac:dyDescent="0.45">
      <c r="A12" s="4" t="s">
        <v>59</v>
      </c>
      <c r="B12" s="3"/>
      <c r="C12" s="3"/>
      <c r="D12" s="3"/>
      <c r="E12" s="3"/>
      <c r="F12" s="3"/>
      <c r="G12" s="3"/>
      <c r="H12" s="3">
        <v>22300</v>
      </c>
      <c r="I12" s="3">
        <v>25208</v>
      </c>
      <c r="J12" s="3">
        <v>25586</v>
      </c>
      <c r="K12" s="3">
        <v>16516</v>
      </c>
      <c r="L12" s="3">
        <v>10040</v>
      </c>
      <c r="M12" s="3">
        <v>49076</v>
      </c>
      <c r="N12" s="5">
        <f t="shared" si="0"/>
        <v>148726</v>
      </c>
    </row>
    <row r="13" spans="1:14" x14ac:dyDescent="0.45">
      <c r="A13" s="4" t="s">
        <v>86</v>
      </c>
      <c r="B13" s="3"/>
      <c r="C13" s="3"/>
      <c r="D13" s="3"/>
      <c r="E13" s="3"/>
      <c r="F13" s="3"/>
      <c r="G13" s="3">
        <v>540</v>
      </c>
      <c r="H13" s="3"/>
      <c r="I13" s="3"/>
      <c r="J13" s="3"/>
      <c r="K13" s="3"/>
      <c r="L13" s="3"/>
      <c r="M13" s="3"/>
      <c r="N13" s="5">
        <f t="shared" si="0"/>
        <v>540</v>
      </c>
    </row>
    <row r="14" spans="1:14" x14ac:dyDescent="0.45">
      <c r="A14" s="22" t="s">
        <v>91</v>
      </c>
      <c r="B14" s="3"/>
      <c r="C14" s="3"/>
      <c r="D14" s="3"/>
      <c r="E14" s="3"/>
      <c r="F14" s="3"/>
      <c r="G14" s="3"/>
      <c r="H14" s="3"/>
      <c r="I14" s="3">
        <v>288</v>
      </c>
      <c r="J14" s="3">
        <v>712</v>
      </c>
      <c r="K14" s="3"/>
      <c r="L14" s="3"/>
      <c r="M14" s="3"/>
      <c r="N14" s="5">
        <f t="shared" si="0"/>
        <v>1000</v>
      </c>
    </row>
    <row r="15" spans="1:14" x14ac:dyDescent="0.45">
      <c r="A15" s="4" t="s">
        <v>66</v>
      </c>
      <c r="B15" s="3">
        <f>540.9+1001.3</f>
        <v>1542.1999999999998</v>
      </c>
      <c r="C15" s="3">
        <f>2.5+2635</f>
        <v>2637.5</v>
      </c>
      <c r="D15" s="3">
        <f>2658.61+1749.64</f>
        <v>4408.25</v>
      </c>
      <c r="E15" s="3">
        <f>2640.27</f>
        <v>2640.27</v>
      </c>
      <c r="F15" s="3">
        <f>23119.2+27486.25</f>
        <v>50605.45</v>
      </c>
      <c r="G15" s="3">
        <f>30992.72+42931.64-G21</f>
        <v>67647.790000000008</v>
      </c>
      <c r="H15" s="3">
        <f>28547.1+38830.96-H21</f>
        <v>61267.409999999996</v>
      </c>
      <c r="I15" s="3">
        <f>48575.87+34953.02</f>
        <v>83528.89</v>
      </c>
      <c r="J15" s="3">
        <f>18510.77+18061.75-J21</f>
        <v>23764.270000000004</v>
      </c>
      <c r="K15" s="3">
        <f>509.2+4584.37</f>
        <v>5093.57</v>
      </c>
      <c r="L15" s="3">
        <f>450</f>
        <v>450</v>
      </c>
      <c r="M15" s="3">
        <f>1092.75+7530</f>
        <v>8622.75</v>
      </c>
      <c r="N15" s="5">
        <f t="shared" si="0"/>
        <v>312208.35000000003</v>
      </c>
    </row>
    <row r="16" spans="1:14" x14ac:dyDescent="0.45">
      <c r="A16" s="4" t="s">
        <v>67</v>
      </c>
      <c r="B16" s="3"/>
      <c r="C16" s="3"/>
      <c r="D16" s="3"/>
      <c r="E16" s="3">
        <v>24.65</v>
      </c>
      <c r="F16" s="3">
        <f>38803.89+6443.91</f>
        <v>45247.8</v>
      </c>
      <c r="G16" s="3">
        <f>4686.71+4973.92</f>
        <v>9660.630000000001</v>
      </c>
      <c r="H16" s="3">
        <f>3927.71+6450.18</f>
        <v>10377.89</v>
      </c>
      <c r="I16" s="3">
        <f>5570.29+288+4266.59</f>
        <v>10124.880000000001</v>
      </c>
      <c r="J16" s="3">
        <f>13325.66+1016+9073</f>
        <v>23414.66</v>
      </c>
      <c r="K16" s="3">
        <f>11756.63+1152+6817.56</f>
        <v>19726.189999999999</v>
      </c>
      <c r="L16" s="3">
        <f>9188.03+18774.71</f>
        <v>27962.739999999998</v>
      </c>
      <c r="M16" s="3">
        <f>69569.1+22546.68</f>
        <v>92115.78</v>
      </c>
      <c r="N16" s="5">
        <f t="shared" si="0"/>
        <v>238655.22</v>
      </c>
    </row>
    <row r="17" spans="1:17" x14ac:dyDescent="0.45">
      <c r="A17" s="4" t="s">
        <v>41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>
        <v>3500</v>
      </c>
      <c r="N17" s="5">
        <f t="shared" si="0"/>
        <v>3500</v>
      </c>
    </row>
    <row r="18" spans="1:17" x14ac:dyDescent="0.45">
      <c r="A18" s="4" t="s">
        <v>56</v>
      </c>
      <c r="B18" s="3"/>
      <c r="C18" s="3"/>
      <c r="D18" s="3"/>
      <c r="E18" s="3"/>
      <c r="F18" s="3"/>
      <c r="G18" s="3"/>
      <c r="H18" s="3"/>
      <c r="I18" s="3"/>
      <c r="J18" s="3">
        <v>102000</v>
      </c>
      <c r="K18" s="3">
        <v>59500</v>
      </c>
      <c r="L18" s="3">
        <v>8500</v>
      </c>
      <c r="M18" s="3"/>
      <c r="N18" s="5">
        <f t="shared" si="0"/>
        <v>170000</v>
      </c>
    </row>
    <row r="19" spans="1:17" x14ac:dyDescent="0.45">
      <c r="A19" s="4" t="s">
        <v>57</v>
      </c>
      <c r="B19" s="3"/>
      <c r="C19" s="3"/>
      <c r="D19" s="3"/>
      <c r="E19" s="3"/>
      <c r="F19" s="3"/>
      <c r="G19" s="3"/>
      <c r="H19" s="3"/>
      <c r="I19" s="3"/>
      <c r="J19" s="3">
        <v>255000</v>
      </c>
      <c r="K19" s="3">
        <v>83000</v>
      </c>
      <c r="L19" s="3">
        <v>8500</v>
      </c>
      <c r="M19" s="3">
        <v>34000</v>
      </c>
      <c r="N19" s="5">
        <f t="shared" si="0"/>
        <v>380500</v>
      </c>
    </row>
    <row r="20" spans="1:17" x14ac:dyDescent="0.45">
      <c r="A20" s="6" t="s">
        <v>39</v>
      </c>
      <c r="B20" s="3"/>
      <c r="C20" s="3"/>
      <c r="D20" s="3"/>
      <c r="E20" s="3"/>
      <c r="F20" s="3"/>
      <c r="G20" s="3"/>
      <c r="H20" s="3"/>
      <c r="I20" s="3"/>
      <c r="J20" s="3">
        <v>489.32</v>
      </c>
      <c r="K20" s="3"/>
      <c r="L20" s="3"/>
      <c r="M20" s="3"/>
      <c r="N20" s="5">
        <f t="shared" si="0"/>
        <v>489.32</v>
      </c>
    </row>
    <row r="21" spans="1:17" x14ac:dyDescent="0.45">
      <c r="A21" s="6" t="s">
        <v>40</v>
      </c>
      <c r="B21" s="7"/>
      <c r="C21" s="7"/>
      <c r="D21" s="7"/>
      <c r="E21" s="7"/>
      <c r="F21" s="7"/>
      <c r="G21" s="7">
        <v>6276.57</v>
      </c>
      <c r="H21" s="7">
        <v>6110.65</v>
      </c>
      <c r="I21" s="7"/>
      <c r="J21" s="7">
        <f>7559.51+4578.84+669.9</f>
        <v>12808.25</v>
      </c>
      <c r="K21" s="7"/>
      <c r="L21" s="7"/>
      <c r="M21" s="7"/>
      <c r="N21" s="5">
        <f t="shared" si="0"/>
        <v>25195.47</v>
      </c>
    </row>
    <row r="22" spans="1:17" x14ac:dyDescent="0.45">
      <c r="A22" s="4" t="s">
        <v>22</v>
      </c>
      <c r="B22" s="5">
        <f t="shared" ref="B22:N22" si="1">SUM(B4:B21)</f>
        <v>123971.66</v>
      </c>
      <c r="C22" s="5">
        <f t="shared" si="1"/>
        <v>45410.3</v>
      </c>
      <c r="D22" s="5">
        <f t="shared" si="1"/>
        <v>54352.35</v>
      </c>
      <c r="E22" s="5">
        <f t="shared" si="1"/>
        <v>44497.069999999992</v>
      </c>
      <c r="F22" s="5">
        <f t="shared" si="1"/>
        <v>255721.52999999997</v>
      </c>
      <c r="G22" s="5">
        <f t="shared" si="1"/>
        <v>201984.19</v>
      </c>
      <c r="H22" s="5">
        <f t="shared" si="1"/>
        <v>424845.10000000003</v>
      </c>
      <c r="I22" s="5">
        <f t="shared" si="1"/>
        <v>303453.7</v>
      </c>
      <c r="J22" s="5">
        <f t="shared" si="1"/>
        <v>516607.2</v>
      </c>
      <c r="K22" s="5">
        <f t="shared" si="1"/>
        <v>228518.16</v>
      </c>
      <c r="L22" s="5">
        <f t="shared" si="1"/>
        <v>62364.74</v>
      </c>
      <c r="M22" s="5">
        <f t="shared" si="1"/>
        <v>332193.93</v>
      </c>
      <c r="N22" s="5">
        <f t="shared" si="1"/>
        <v>2593919.9300000002</v>
      </c>
      <c r="P22" s="1"/>
      <c r="Q22" s="1"/>
    </row>
    <row r="23" spans="1:17" x14ac:dyDescent="0.45"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7" ht="21" x14ac:dyDescent="0.65">
      <c r="A24" s="14" t="s">
        <v>26</v>
      </c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7" x14ac:dyDescent="0.45">
      <c r="A25" s="12" t="s">
        <v>25</v>
      </c>
      <c r="B25" s="12" t="s">
        <v>1</v>
      </c>
      <c r="C25" s="12" t="s">
        <v>2</v>
      </c>
      <c r="D25" s="12" t="s">
        <v>3</v>
      </c>
      <c r="E25" s="12" t="s">
        <v>4</v>
      </c>
      <c r="F25" s="12" t="s">
        <v>5</v>
      </c>
      <c r="G25" s="12" t="s">
        <v>6</v>
      </c>
      <c r="H25" s="12" t="s">
        <v>7</v>
      </c>
      <c r="I25" s="12" t="s">
        <v>8</v>
      </c>
      <c r="J25" s="12" t="s">
        <v>9</v>
      </c>
      <c r="K25" s="12" t="s">
        <v>10</v>
      </c>
      <c r="L25" s="12" t="s">
        <v>11</v>
      </c>
      <c r="M25" s="12" t="s">
        <v>12</v>
      </c>
      <c r="N25" s="12" t="s">
        <v>17</v>
      </c>
    </row>
    <row r="26" spans="1:17" x14ac:dyDescent="0.45">
      <c r="A26" s="6" t="s">
        <v>27</v>
      </c>
      <c r="B26" s="3">
        <v>20000</v>
      </c>
      <c r="C26" s="3">
        <v>20000</v>
      </c>
      <c r="D26" s="3">
        <v>20000</v>
      </c>
      <c r="E26" s="3">
        <v>32000</v>
      </c>
      <c r="F26" s="3">
        <v>116000</v>
      </c>
      <c r="G26" s="3">
        <v>20000</v>
      </c>
      <c r="H26" s="3">
        <v>80000</v>
      </c>
      <c r="I26" s="3">
        <v>32000</v>
      </c>
      <c r="J26" s="3">
        <v>32000</v>
      </c>
      <c r="K26" s="3">
        <v>26000</v>
      </c>
      <c r="L26" s="3">
        <v>20000</v>
      </c>
      <c r="M26" s="3">
        <v>20000</v>
      </c>
      <c r="N26" s="5">
        <f>SUM(B26:M26)</f>
        <v>438000</v>
      </c>
    </row>
    <row r="27" spans="1:17" x14ac:dyDescent="0.45">
      <c r="A27" s="6" t="s">
        <v>71</v>
      </c>
      <c r="B27" s="3"/>
      <c r="C27" s="3"/>
      <c r="D27" s="3"/>
      <c r="E27" s="3"/>
      <c r="F27" s="3"/>
      <c r="G27" s="3"/>
      <c r="H27" s="3"/>
      <c r="I27" s="3">
        <f>22227.2+9568</f>
        <v>31795.200000000001</v>
      </c>
      <c r="J27" s="3">
        <f>22227.2+9568</f>
        <v>31795.200000000001</v>
      </c>
      <c r="K27" s="3">
        <f>22227.2+9568</f>
        <v>31795.200000000001</v>
      </c>
      <c r="L27" s="3">
        <f>22249.46+9568</f>
        <v>31817.46</v>
      </c>
      <c r="M27" s="3">
        <f>22227.2+9568</f>
        <v>31795.200000000001</v>
      </c>
      <c r="N27" s="5">
        <f t="shared" ref="N27:N30" si="2">SUM(B27:M27)</f>
        <v>158998.26</v>
      </c>
    </row>
    <row r="28" spans="1:17" x14ac:dyDescent="0.45">
      <c r="A28" s="6" t="s">
        <v>68</v>
      </c>
      <c r="B28" s="3"/>
      <c r="C28" s="3"/>
      <c r="D28" s="3"/>
      <c r="E28" s="3"/>
      <c r="F28" s="3">
        <v>92953</v>
      </c>
      <c r="G28" s="3"/>
      <c r="H28" s="3"/>
      <c r="I28" s="3"/>
      <c r="J28" s="3"/>
      <c r="K28" s="3"/>
      <c r="L28" s="3"/>
      <c r="M28" s="3"/>
      <c r="N28" s="5">
        <f t="shared" si="2"/>
        <v>92953</v>
      </c>
    </row>
    <row r="29" spans="1:17" x14ac:dyDescent="0.45">
      <c r="A29" s="6" t="s">
        <v>28</v>
      </c>
      <c r="B29" s="3"/>
      <c r="C29" s="3">
        <v>15728.58</v>
      </c>
      <c r="D29" s="3">
        <v>11058.28</v>
      </c>
      <c r="E29" s="3">
        <v>14268.36</v>
      </c>
      <c r="F29" s="3">
        <v>31033.75</v>
      </c>
      <c r="G29" s="3">
        <v>89646.78</v>
      </c>
      <c r="H29" s="3">
        <v>92406.21</v>
      </c>
      <c r="I29" s="3">
        <v>89151.15</v>
      </c>
      <c r="J29" s="3">
        <v>105230.04</v>
      </c>
      <c r="K29" s="3"/>
      <c r="L29" s="3"/>
      <c r="M29" s="3">
        <v>215307.72</v>
      </c>
      <c r="N29" s="5">
        <f t="shared" si="2"/>
        <v>663830.87</v>
      </c>
    </row>
    <row r="30" spans="1:17" x14ac:dyDescent="0.45">
      <c r="A30" s="6" t="s">
        <v>73</v>
      </c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>
        <v>996.3</v>
      </c>
      <c r="N30" s="5">
        <f t="shared" si="2"/>
        <v>996.3</v>
      </c>
    </row>
    <row r="31" spans="1:17" x14ac:dyDescent="0.45">
      <c r="A31" s="6" t="s">
        <v>45</v>
      </c>
      <c r="B31" s="3"/>
      <c r="C31" s="3">
        <f>3390.16+3000</f>
        <v>6390.16</v>
      </c>
      <c r="D31" s="3"/>
      <c r="E31" s="3"/>
      <c r="F31" s="3"/>
      <c r="G31" s="3">
        <v>55514</v>
      </c>
      <c r="H31" s="3">
        <v>7000</v>
      </c>
      <c r="I31" s="3">
        <v>12557.33</v>
      </c>
      <c r="J31" s="3">
        <v>24479.75</v>
      </c>
      <c r="K31" s="3">
        <v>9297.1299999999992</v>
      </c>
      <c r="L31" s="3"/>
      <c r="M31" s="3">
        <v>10112.5</v>
      </c>
      <c r="N31" s="5">
        <f t="shared" ref="N31:N48" si="3">SUM(B31:M31)</f>
        <v>125350.87000000001</v>
      </c>
    </row>
    <row r="32" spans="1:17" x14ac:dyDescent="0.45">
      <c r="A32" s="6" t="s">
        <v>46</v>
      </c>
      <c r="B32" s="3"/>
      <c r="C32" s="3">
        <f>157.29+63.9</f>
        <v>221.19</v>
      </c>
      <c r="D32" s="3">
        <v>110.58</v>
      </c>
      <c r="E32" s="3">
        <v>142.68</v>
      </c>
      <c r="F32" s="3"/>
      <c r="G32" s="3"/>
      <c r="H32" s="3"/>
      <c r="I32" s="3"/>
      <c r="J32" s="3"/>
      <c r="K32" s="3"/>
      <c r="L32" s="3"/>
      <c r="M32" s="3"/>
      <c r="N32" s="5">
        <f t="shared" si="3"/>
        <v>474.45</v>
      </c>
    </row>
    <row r="33" spans="1:14" x14ac:dyDescent="0.45">
      <c r="A33" s="6" t="s">
        <v>69</v>
      </c>
      <c r="B33" s="3"/>
      <c r="C33" s="3"/>
      <c r="D33" s="3">
        <f>3456</f>
        <v>3456</v>
      </c>
      <c r="E33" s="3">
        <f>600+1394</f>
        <v>1994</v>
      </c>
      <c r="F33" s="3"/>
      <c r="G33" s="3"/>
      <c r="H33" s="3"/>
      <c r="I33" s="3"/>
      <c r="J33" s="3"/>
      <c r="K33" s="3"/>
      <c r="L33" s="3"/>
      <c r="M33" s="3"/>
      <c r="N33" s="5">
        <f t="shared" si="3"/>
        <v>5450</v>
      </c>
    </row>
    <row r="34" spans="1:14" ht="28.5" x14ac:dyDescent="0.45">
      <c r="A34" s="6" t="s">
        <v>70</v>
      </c>
      <c r="B34" s="3"/>
      <c r="C34" s="3"/>
      <c r="D34" s="3"/>
      <c r="E34" s="3">
        <f>2150</f>
        <v>2150</v>
      </c>
      <c r="F34" s="3">
        <f>1500+30+300</f>
        <v>1830</v>
      </c>
      <c r="G34" s="3">
        <f>285+1500</f>
        <v>1785</v>
      </c>
      <c r="H34" s="3">
        <f>1500</f>
        <v>1500</v>
      </c>
      <c r="I34" s="3">
        <f>59.7+1500+60</f>
        <v>1619.7</v>
      </c>
      <c r="J34" s="3">
        <f>297+1500+60</f>
        <v>1857</v>
      </c>
      <c r="K34" s="3">
        <f>120+1500</f>
        <v>1620</v>
      </c>
      <c r="L34" s="3">
        <v>1700</v>
      </c>
      <c r="M34" s="3">
        <v>1700</v>
      </c>
      <c r="N34" s="5">
        <f t="shared" si="3"/>
        <v>15761.7</v>
      </c>
    </row>
    <row r="35" spans="1:14" x14ac:dyDescent="0.45">
      <c r="A35" s="6" t="s">
        <v>42</v>
      </c>
      <c r="B35" s="3"/>
      <c r="C35" s="3"/>
      <c r="D35" s="3"/>
      <c r="E35" s="3"/>
      <c r="F35" s="3"/>
      <c r="G35" s="3"/>
      <c r="H35" s="3"/>
      <c r="I35" s="3"/>
      <c r="J35" s="3"/>
      <c r="K35" s="3"/>
      <c r="L35" s="3">
        <v>505157.5</v>
      </c>
      <c r="M35" s="3"/>
      <c r="N35" s="5">
        <f t="shared" si="3"/>
        <v>505157.5</v>
      </c>
    </row>
    <row r="36" spans="1:14" x14ac:dyDescent="0.45">
      <c r="A36" s="6" t="s">
        <v>47</v>
      </c>
      <c r="B36" s="3"/>
      <c r="C36" s="3"/>
      <c r="D36" s="3">
        <v>3700</v>
      </c>
      <c r="E36" s="3"/>
      <c r="F36" s="3"/>
      <c r="G36" s="3"/>
      <c r="H36" s="3"/>
      <c r="I36" s="3"/>
      <c r="J36" s="3"/>
      <c r="K36" s="3"/>
      <c r="L36" s="3"/>
      <c r="M36" s="3"/>
      <c r="N36" s="5">
        <f t="shared" si="3"/>
        <v>3700</v>
      </c>
    </row>
    <row r="37" spans="1:14" x14ac:dyDescent="0.45">
      <c r="A37" s="6" t="s">
        <v>48</v>
      </c>
      <c r="B37" s="3"/>
      <c r="C37" s="3"/>
      <c r="D37" s="3">
        <v>1500</v>
      </c>
      <c r="E37" s="3"/>
      <c r="F37" s="3"/>
      <c r="G37" s="3"/>
      <c r="H37" s="3"/>
      <c r="I37" s="3"/>
      <c r="J37" s="3"/>
      <c r="K37" s="3"/>
      <c r="L37" s="3"/>
      <c r="M37" s="3"/>
      <c r="N37" s="5">
        <f t="shared" si="3"/>
        <v>1500</v>
      </c>
    </row>
    <row r="38" spans="1:14" x14ac:dyDescent="0.45">
      <c r="A38" s="6" t="s">
        <v>72</v>
      </c>
      <c r="B38" s="3"/>
      <c r="C38" s="3"/>
      <c r="D38" s="3"/>
      <c r="E38" s="3"/>
      <c r="F38" s="3"/>
      <c r="G38" s="3"/>
      <c r="H38" s="3"/>
      <c r="I38" s="3">
        <v>3300</v>
      </c>
      <c r="J38" s="3"/>
      <c r="K38" s="3"/>
      <c r="L38" s="3"/>
      <c r="M38" s="3"/>
      <c r="N38" s="5">
        <f t="shared" si="3"/>
        <v>3300</v>
      </c>
    </row>
    <row r="39" spans="1:14" x14ac:dyDescent="0.45">
      <c r="A39" s="6" t="s">
        <v>49</v>
      </c>
      <c r="B39" s="3"/>
      <c r="C39" s="3"/>
      <c r="D39" s="3">
        <v>1888.77</v>
      </c>
      <c r="E39" s="3"/>
      <c r="F39" s="3"/>
      <c r="G39" s="3"/>
      <c r="H39" s="3">
        <v>1861.9</v>
      </c>
      <c r="I39" s="3"/>
      <c r="J39" s="3"/>
      <c r="K39" s="3"/>
      <c r="L39" s="3"/>
      <c r="M39" s="3"/>
      <c r="N39" s="5">
        <f t="shared" si="3"/>
        <v>3750.67</v>
      </c>
    </row>
    <row r="40" spans="1:14" x14ac:dyDescent="0.45">
      <c r="A40" s="6" t="s">
        <v>50</v>
      </c>
      <c r="B40" s="3"/>
      <c r="C40" s="3"/>
      <c r="D40" s="3"/>
      <c r="E40" s="3"/>
      <c r="F40" s="3">
        <v>1380</v>
      </c>
      <c r="G40" s="3"/>
      <c r="H40" s="3">
        <v>6000</v>
      </c>
      <c r="I40" s="3"/>
      <c r="J40" s="3"/>
      <c r="K40" s="3"/>
      <c r="L40" s="3"/>
      <c r="M40" s="3"/>
      <c r="N40" s="5">
        <f t="shared" si="3"/>
        <v>7380</v>
      </c>
    </row>
    <row r="41" spans="1:14" x14ac:dyDescent="0.45">
      <c r="A41" s="6" t="s">
        <v>44</v>
      </c>
      <c r="B41" s="3"/>
      <c r="C41" s="3"/>
      <c r="D41" s="3"/>
      <c r="E41" s="3"/>
      <c r="F41" s="3"/>
      <c r="G41" s="3"/>
      <c r="H41" s="3">
        <v>10000</v>
      </c>
      <c r="I41" s="3"/>
      <c r="J41" s="3"/>
      <c r="K41" s="3"/>
      <c r="L41" s="3"/>
      <c r="M41" s="3"/>
      <c r="N41" s="5">
        <f t="shared" si="3"/>
        <v>10000</v>
      </c>
    </row>
    <row r="42" spans="1:14" x14ac:dyDescent="0.45">
      <c r="A42" s="6" t="s">
        <v>51</v>
      </c>
      <c r="B42" s="3"/>
      <c r="C42" s="3"/>
      <c r="D42" s="3"/>
      <c r="E42" s="3"/>
      <c r="F42" s="3"/>
      <c r="G42" s="3"/>
      <c r="H42" s="3">
        <v>2536</v>
      </c>
      <c r="I42" s="3"/>
      <c r="J42" s="3"/>
      <c r="K42" s="3"/>
      <c r="L42" s="3"/>
      <c r="M42" s="3"/>
      <c r="N42" s="5">
        <f t="shared" si="3"/>
        <v>2536</v>
      </c>
    </row>
    <row r="43" spans="1:14" ht="28.5" x14ac:dyDescent="0.45">
      <c r="A43" s="6" t="s">
        <v>52</v>
      </c>
      <c r="B43" s="3"/>
      <c r="C43" s="3"/>
      <c r="D43" s="3"/>
      <c r="E43" s="3"/>
      <c r="F43" s="3"/>
      <c r="G43" s="3"/>
      <c r="H43" s="3">
        <f>4000+45000</f>
        <v>49000</v>
      </c>
      <c r="I43" s="3">
        <f>50000+50000+50000+51000+50000+40000+10000</f>
        <v>301000</v>
      </c>
      <c r="J43" s="3"/>
      <c r="K43" s="3"/>
      <c r="L43" s="3"/>
      <c r="M43" s="3"/>
      <c r="N43" s="5">
        <f t="shared" si="3"/>
        <v>350000</v>
      </c>
    </row>
    <row r="44" spans="1:14" ht="28.5" x14ac:dyDescent="0.45">
      <c r="A44" s="6" t="s">
        <v>53</v>
      </c>
      <c r="B44" s="3"/>
      <c r="C44" s="3"/>
      <c r="D44" s="3"/>
      <c r="E44" s="3"/>
      <c r="F44" s="3"/>
      <c r="G44" s="3"/>
      <c r="H44" s="3"/>
      <c r="I44" s="3">
        <v>13300</v>
      </c>
      <c r="J44" s="3"/>
      <c r="K44" s="3"/>
      <c r="L44" s="3"/>
      <c r="M44" s="3"/>
      <c r="N44" s="5">
        <f t="shared" si="3"/>
        <v>13300</v>
      </c>
    </row>
    <row r="45" spans="1:14" ht="15" customHeight="1" x14ac:dyDescent="0.45">
      <c r="A45" s="6" t="s">
        <v>43</v>
      </c>
      <c r="B45" s="3"/>
      <c r="C45" s="3"/>
      <c r="D45" s="3"/>
      <c r="E45" s="3"/>
      <c r="F45" s="3"/>
      <c r="G45" s="3"/>
      <c r="H45" s="3">
        <v>500</v>
      </c>
      <c r="I45" s="3"/>
      <c r="J45" s="3"/>
      <c r="K45" s="3"/>
      <c r="L45" s="3"/>
      <c r="M45" s="3"/>
      <c r="N45" s="5">
        <f t="shared" si="3"/>
        <v>500</v>
      </c>
    </row>
    <row r="46" spans="1:14" ht="30.75" customHeight="1" x14ac:dyDescent="0.45">
      <c r="A46" s="6" t="s">
        <v>55</v>
      </c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>
        <v>15000</v>
      </c>
      <c r="N46" s="5">
        <f t="shared" si="3"/>
        <v>15000</v>
      </c>
    </row>
    <row r="47" spans="1:14" x14ac:dyDescent="0.45">
      <c r="A47" s="6" t="s">
        <v>32</v>
      </c>
      <c r="B47" s="3">
        <v>3000</v>
      </c>
      <c r="C47" s="3">
        <v>3000</v>
      </c>
      <c r="D47" s="3">
        <v>3000</v>
      </c>
      <c r="E47" s="3">
        <v>3000</v>
      </c>
      <c r="F47" s="3">
        <v>3000</v>
      </c>
      <c r="G47" s="3">
        <v>3000</v>
      </c>
      <c r="H47" s="3">
        <v>3000</v>
      </c>
      <c r="I47" s="3">
        <v>3000</v>
      </c>
      <c r="J47" s="3">
        <v>3000</v>
      </c>
      <c r="K47" s="3">
        <v>3000</v>
      </c>
      <c r="L47" s="3">
        <v>3000</v>
      </c>
      <c r="M47" s="3">
        <v>3000</v>
      </c>
      <c r="N47" s="5">
        <f t="shared" si="3"/>
        <v>36000</v>
      </c>
    </row>
    <row r="48" spans="1:14" x14ac:dyDescent="0.45">
      <c r="A48" s="6" t="s">
        <v>54</v>
      </c>
      <c r="B48" s="3"/>
      <c r="C48" s="3"/>
      <c r="D48" s="3"/>
      <c r="E48" s="3"/>
      <c r="F48" s="3"/>
      <c r="G48" s="3"/>
      <c r="H48" s="3"/>
      <c r="I48" s="3">
        <v>20000</v>
      </c>
      <c r="J48" s="3"/>
      <c r="K48" s="3"/>
      <c r="L48" s="3"/>
      <c r="M48" s="3"/>
      <c r="N48" s="5">
        <f t="shared" si="3"/>
        <v>20000</v>
      </c>
    </row>
    <row r="49" spans="1:16" x14ac:dyDescent="0.45">
      <c r="A49" s="4" t="s">
        <v>22</v>
      </c>
      <c r="B49" s="5">
        <f>SUM(B26:B48)</f>
        <v>23000</v>
      </c>
      <c r="C49" s="5">
        <f t="shared" ref="C49:M49" si="4">SUM(C26:C48)</f>
        <v>45339.930000000008</v>
      </c>
      <c r="D49" s="5">
        <f t="shared" si="4"/>
        <v>44713.63</v>
      </c>
      <c r="E49" s="5">
        <f t="shared" si="4"/>
        <v>53555.040000000001</v>
      </c>
      <c r="F49" s="5">
        <f t="shared" si="4"/>
        <v>246196.75</v>
      </c>
      <c r="G49" s="5">
        <f t="shared" si="4"/>
        <v>169945.78</v>
      </c>
      <c r="H49" s="5">
        <f t="shared" si="4"/>
        <v>253804.11000000002</v>
      </c>
      <c r="I49" s="5">
        <f t="shared" si="4"/>
        <v>507723.38</v>
      </c>
      <c r="J49" s="5">
        <f t="shared" si="4"/>
        <v>198361.99</v>
      </c>
      <c r="K49" s="5">
        <f t="shared" si="4"/>
        <v>71712.33</v>
      </c>
      <c r="L49" s="5">
        <f t="shared" si="4"/>
        <v>561674.96</v>
      </c>
      <c r="M49" s="5">
        <f t="shared" si="4"/>
        <v>297911.71999999997</v>
      </c>
      <c r="N49" s="5">
        <f>SUM(N26:N48)</f>
        <v>2473939.62</v>
      </c>
      <c r="O49" s="8"/>
      <c r="P49" s="1"/>
    </row>
    <row r="50" spans="1:16" x14ac:dyDescent="0.45">
      <c r="A50" s="9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</row>
    <row r="51" spans="1:16" ht="29.25" customHeight="1" x14ac:dyDescent="0.45">
      <c r="A51" s="10" t="s">
        <v>34</v>
      </c>
      <c r="B51" s="11" t="s">
        <v>1</v>
      </c>
      <c r="C51" s="11" t="s">
        <v>2</v>
      </c>
      <c r="D51" s="11" t="s">
        <v>3</v>
      </c>
      <c r="E51" s="11" t="s">
        <v>4</v>
      </c>
      <c r="F51" s="11" t="s">
        <v>5</v>
      </c>
      <c r="G51" s="11" t="s">
        <v>6</v>
      </c>
      <c r="H51" s="11" t="s">
        <v>7</v>
      </c>
      <c r="I51" s="10" t="s">
        <v>8</v>
      </c>
      <c r="J51" s="11" t="s">
        <v>9</v>
      </c>
      <c r="K51" s="11" t="s">
        <v>10</v>
      </c>
      <c r="L51" s="11" t="s">
        <v>11</v>
      </c>
      <c r="M51" s="11" t="s">
        <v>12</v>
      </c>
      <c r="N51" s="11" t="s">
        <v>17</v>
      </c>
    </row>
    <row r="52" spans="1:16" x14ac:dyDescent="0.45">
      <c r="A52" s="6" t="s">
        <v>74</v>
      </c>
      <c r="B52" s="2"/>
      <c r="C52" s="2"/>
      <c r="D52" s="2"/>
      <c r="E52" s="2"/>
      <c r="F52" s="2"/>
      <c r="G52" s="2"/>
      <c r="H52" s="2"/>
      <c r="I52" s="2"/>
      <c r="J52" s="3"/>
      <c r="K52" s="3"/>
      <c r="L52" s="3"/>
      <c r="M52" s="3">
        <v>29000.83</v>
      </c>
      <c r="N52" s="31">
        <f>N22-N49</f>
        <v>119980.31000000006</v>
      </c>
      <c r="O52" s="1"/>
    </row>
    <row r="53" spans="1:16" x14ac:dyDescent="0.45">
      <c r="A53" s="6" t="s">
        <v>75</v>
      </c>
      <c r="B53" s="2"/>
      <c r="C53" s="2"/>
      <c r="D53" s="2"/>
      <c r="E53" s="2"/>
      <c r="F53" s="2"/>
      <c r="G53" s="2"/>
      <c r="H53" s="2"/>
      <c r="I53" s="2"/>
      <c r="J53" s="3"/>
      <c r="K53" s="3"/>
      <c r="L53" s="3"/>
      <c r="M53" s="3">
        <v>90979.48</v>
      </c>
      <c r="N53" s="32"/>
    </row>
    <row r="54" spans="1:16" x14ac:dyDescent="0.45">
      <c r="A54" s="6" t="s">
        <v>80</v>
      </c>
      <c r="B54" s="2"/>
      <c r="C54" s="2"/>
      <c r="D54" s="2"/>
      <c r="E54" s="3">
        <v>15000</v>
      </c>
      <c r="F54" s="3">
        <v>60000</v>
      </c>
      <c r="G54" s="3">
        <v>145000</v>
      </c>
      <c r="H54" s="2"/>
      <c r="I54" s="3">
        <v>69900</v>
      </c>
      <c r="J54" s="3">
        <v>149000</v>
      </c>
      <c r="K54" s="3">
        <v>90000</v>
      </c>
      <c r="L54" s="3">
        <v>17000</v>
      </c>
      <c r="M54" s="3"/>
      <c r="N54" s="5">
        <f>SUM(B54:M54)</f>
        <v>545900</v>
      </c>
    </row>
    <row r="55" spans="1:16" x14ac:dyDescent="0.45">
      <c r="A55" s="6" t="s">
        <v>35</v>
      </c>
      <c r="B55" s="3">
        <v>15728.58</v>
      </c>
      <c r="C55" s="3">
        <v>11058.28</v>
      </c>
      <c r="D55" s="3">
        <v>14268.36</v>
      </c>
      <c r="E55" s="3">
        <v>31033.75</v>
      </c>
      <c r="F55" s="3">
        <v>89646.78</v>
      </c>
      <c r="G55" s="3">
        <v>92406.21</v>
      </c>
      <c r="H55" s="3">
        <v>89151.15</v>
      </c>
      <c r="I55" s="3">
        <v>105230.04</v>
      </c>
      <c r="J55" s="3">
        <v>99630.35</v>
      </c>
      <c r="K55" s="3">
        <v>64715.03</v>
      </c>
      <c r="L55" s="3">
        <v>50962.34</v>
      </c>
      <c r="M55" s="3">
        <v>6212.06</v>
      </c>
      <c r="N55" s="5">
        <f>SUM(B55:M55)</f>
        <v>670042.93000000005</v>
      </c>
    </row>
    <row r="56" spans="1:16" x14ac:dyDescent="0.45">
      <c r="A56" s="27" t="s">
        <v>110</v>
      </c>
      <c r="B56" s="3">
        <f>B55-C15-C16-C21</f>
        <v>13091.08</v>
      </c>
      <c r="C56" s="3">
        <f>C55-D15-D16-D21</f>
        <v>6650.0300000000007</v>
      </c>
      <c r="D56" s="3">
        <f t="shared" ref="D56:K56" si="5">D55-E15-E16-E21</f>
        <v>11603.44</v>
      </c>
      <c r="E56" s="3">
        <f t="shared" si="5"/>
        <v>-64819.5</v>
      </c>
      <c r="F56" s="3">
        <f t="shared" si="5"/>
        <v>6061.78999999999</v>
      </c>
      <c r="G56" s="3">
        <f t="shared" si="5"/>
        <v>14650.260000000011</v>
      </c>
      <c r="H56" s="3">
        <f t="shared" si="5"/>
        <v>-4502.6200000000063</v>
      </c>
      <c r="I56" s="3">
        <f t="shared" si="5"/>
        <v>45242.859999999986</v>
      </c>
      <c r="J56" s="3">
        <f t="shared" si="5"/>
        <v>74810.59</v>
      </c>
      <c r="K56" s="3">
        <f t="shared" si="5"/>
        <v>36302.29</v>
      </c>
      <c r="L56" s="3">
        <f>L55-M15-M16-M21</f>
        <v>-49776.19</v>
      </c>
      <c r="M56" s="3">
        <f>M55-'2017'!B22-'2017'!B23-'2017'!B29</f>
        <v>-2607.9300000000003</v>
      </c>
      <c r="N56" s="5">
        <f>SUM(B56:M56)</f>
        <v>86706.099999999977</v>
      </c>
      <c r="O56" s="1"/>
    </row>
    <row r="57" spans="1:16" x14ac:dyDescent="0.45">
      <c r="A57" s="15" t="s">
        <v>76</v>
      </c>
      <c r="B57" s="24">
        <f>B58+B59+B60</f>
        <v>20000</v>
      </c>
      <c r="C57" s="24">
        <f t="shared" ref="C57:M57" si="6">C58+C59+C60</f>
        <v>20000</v>
      </c>
      <c r="D57" s="24">
        <f t="shared" si="6"/>
        <v>20000</v>
      </c>
      <c r="E57" s="24">
        <f t="shared" si="6"/>
        <v>32000</v>
      </c>
      <c r="F57" s="24">
        <f>F58+F59+F60</f>
        <v>116000</v>
      </c>
      <c r="G57" s="24">
        <f t="shared" si="6"/>
        <v>20000</v>
      </c>
      <c r="H57" s="24">
        <f t="shared" si="6"/>
        <v>80000</v>
      </c>
      <c r="I57" s="24">
        <f t="shared" si="6"/>
        <v>32000</v>
      </c>
      <c r="J57" s="24">
        <f t="shared" si="6"/>
        <v>32000</v>
      </c>
      <c r="K57" s="24">
        <f t="shared" si="6"/>
        <v>26000</v>
      </c>
      <c r="L57" s="24">
        <f t="shared" si="6"/>
        <v>20000</v>
      </c>
      <c r="M57" s="24">
        <f t="shared" si="6"/>
        <v>20000</v>
      </c>
      <c r="N57" s="5">
        <f>SUM(B57:M57)</f>
        <v>438000</v>
      </c>
    </row>
    <row r="58" spans="1:16" x14ac:dyDescent="0.45">
      <c r="A58" s="6" t="s">
        <v>77</v>
      </c>
      <c r="B58" s="3"/>
      <c r="C58" s="3"/>
      <c r="D58" s="3"/>
      <c r="E58" s="3">
        <v>12000</v>
      </c>
      <c r="F58" s="3">
        <f>18000+24000</f>
        <v>42000</v>
      </c>
      <c r="G58" s="3"/>
      <c r="H58" s="3">
        <f>12000+12000+6000</f>
        <v>30000</v>
      </c>
      <c r="I58" s="3">
        <v>6000</v>
      </c>
      <c r="J58" s="3">
        <v>6000</v>
      </c>
      <c r="K58" s="3"/>
      <c r="L58" s="3"/>
      <c r="M58" s="3"/>
      <c r="N58" s="26">
        <f>SUM(B58:M58)</f>
        <v>96000</v>
      </c>
    </row>
    <row r="59" spans="1:16" x14ac:dyDescent="0.45">
      <c r="A59" s="6" t="s">
        <v>78</v>
      </c>
      <c r="B59" s="3"/>
      <c r="C59" s="3"/>
      <c r="D59" s="3"/>
      <c r="E59" s="3"/>
      <c r="F59" s="3">
        <f>36000+18000</f>
        <v>54000</v>
      </c>
      <c r="G59" s="3"/>
      <c r="H59" s="3">
        <f>12000+12000+6000</f>
        <v>30000</v>
      </c>
      <c r="I59" s="3">
        <v>6000</v>
      </c>
      <c r="J59" s="3">
        <v>6000</v>
      </c>
      <c r="K59" s="3">
        <v>6000</v>
      </c>
      <c r="L59" s="3"/>
      <c r="M59" s="3"/>
      <c r="N59" s="26">
        <f t="shared" ref="N59:N60" si="7">SUM(B59:M59)</f>
        <v>102000</v>
      </c>
    </row>
    <row r="60" spans="1:16" x14ac:dyDescent="0.45">
      <c r="A60" s="6" t="s">
        <v>79</v>
      </c>
      <c r="B60" s="3">
        <v>20000</v>
      </c>
      <c r="C60" s="3">
        <v>20000</v>
      </c>
      <c r="D60" s="3">
        <v>20000</v>
      </c>
      <c r="E60" s="3">
        <v>20000</v>
      </c>
      <c r="F60" s="3">
        <v>20000</v>
      </c>
      <c r="G60" s="3">
        <v>20000</v>
      </c>
      <c r="H60" s="3">
        <v>20000</v>
      </c>
      <c r="I60" s="3">
        <v>20000</v>
      </c>
      <c r="J60" s="3">
        <v>20000</v>
      </c>
      <c r="K60" s="3">
        <v>20000</v>
      </c>
      <c r="L60" s="3">
        <v>20000</v>
      </c>
      <c r="M60" s="3">
        <v>20000</v>
      </c>
      <c r="N60" s="26">
        <f t="shared" si="7"/>
        <v>240000</v>
      </c>
    </row>
    <row r="61" spans="1:16" x14ac:dyDescent="0.45">
      <c r="N61" s="8"/>
    </row>
  </sheetData>
  <mergeCells count="2">
    <mergeCell ref="A1:N1"/>
    <mergeCell ref="N52:N53"/>
  </mergeCells>
  <pageMargins left="0" right="0" top="0" bottom="0" header="0" footer="0"/>
  <pageSetup paperSize="9" scale="64" orientation="landscape" r:id="rId1"/>
  <rowBreaks count="1" manualBreakCount="1">
    <brk id="49" max="1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64"/>
  <sheetViews>
    <sheetView zoomScale="70" zoomScaleNormal="70" workbookViewId="0">
      <selection activeCell="A2" sqref="A2"/>
    </sheetView>
  </sheetViews>
  <sheetFormatPr defaultRowHeight="14.25" outlineLevelCol="1" x14ac:dyDescent="0.45"/>
  <cols>
    <col min="1" max="1" width="39.59765625" customWidth="1"/>
    <col min="2" max="2" width="13.265625" customWidth="1" outlineLevel="1"/>
    <col min="3" max="3" width="11.59765625" customWidth="1" outlineLevel="1"/>
    <col min="4" max="4" width="10.86328125" customWidth="1" outlineLevel="1"/>
    <col min="5" max="5" width="11.3984375" customWidth="1" outlineLevel="1"/>
    <col min="6" max="6" width="13.1328125" customWidth="1" outlineLevel="1"/>
    <col min="7" max="7" width="12" customWidth="1" outlineLevel="1"/>
    <col min="8" max="8" width="12.86328125" customWidth="1" outlineLevel="1"/>
    <col min="9" max="9" width="12.59765625" customWidth="1" outlineLevel="1"/>
    <col min="10" max="10" width="15.265625" customWidth="1" outlineLevel="1"/>
    <col min="11" max="11" width="13.73046875" customWidth="1" outlineLevel="1"/>
    <col min="12" max="12" width="12.73046875" customWidth="1" outlineLevel="1"/>
    <col min="13" max="13" width="13.265625" customWidth="1" outlineLevel="1"/>
    <col min="14" max="14" width="14.3984375" customWidth="1"/>
    <col min="15" max="15" width="10.73046875" bestFit="1" customWidth="1"/>
  </cols>
  <sheetData>
    <row r="1" spans="1:14" ht="23.25" x14ac:dyDescent="0.7">
      <c r="A1" s="29" t="s">
        <v>129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</row>
    <row r="2" spans="1:14" ht="21" x14ac:dyDescent="0.65">
      <c r="A2" s="13" t="s">
        <v>0</v>
      </c>
    </row>
    <row r="3" spans="1:14" x14ac:dyDescent="0.45">
      <c r="A3" s="12" t="s">
        <v>25</v>
      </c>
      <c r="B3" s="12" t="s">
        <v>1</v>
      </c>
      <c r="C3" s="12" t="s">
        <v>2</v>
      </c>
      <c r="D3" s="12" t="s">
        <v>3</v>
      </c>
      <c r="E3" s="12" t="s">
        <v>4</v>
      </c>
      <c r="F3" s="12" t="s">
        <v>5</v>
      </c>
      <c r="G3" s="12" t="s">
        <v>6</v>
      </c>
      <c r="H3" s="12" t="s">
        <v>7</v>
      </c>
      <c r="I3" s="12" t="s">
        <v>8</v>
      </c>
      <c r="J3" s="12" t="s">
        <v>9</v>
      </c>
      <c r="K3" s="12" t="s">
        <v>10</v>
      </c>
      <c r="L3" s="12" t="s">
        <v>11</v>
      </c>
      <c r="M3" s="12" t="s">
        <v>12</v>
      </c>
      <c r="N3" s="12" t="s">
        <v>17</v>
      </c>
    </row>
    <row r="4" spans="1:14" x14ac:dyDescent="0.45">
      <c r="A4" s="6" t="s">
        <v>81</v>
      </c>
      <c r="B4" s="3">
        <v>29000.83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5">
        <f>B4</f>
        <v>29000.83</v>
      </c>
    </row>
    <row r="5" spans="1:14" x14ac:dyDescent="0.45">
      <c r="A5" s="6" t="s">
        <v>82</v>
      </c>
      <c r="B5" s="3">
        <v>90979.48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5">
        <f>B5</f>
        <v>90979.48</v>
      </c>
    </row>
    <row r="6" spans="1:14" x14ac:dyDescent="0.45">
      <c r="A6" s="22" t="s">
        <v>92</v>
      </c>
      <c r="B6" s="7">
        <v>1296</v>
      </c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23">
        <f t="shared" ref="N6:N29" si="0">SUM(B6:M6)</f>
        <v>1296</v>
      </c>
    </row>
    <row r="7" spans="1:14" x14ac:dyDescent="0.45">
      <c r="A7" s="22" t="s">
        <v>60</v>
      </c>
      <c r="B7" s="7">
        <v>581.25</v>
      </c>
      <c r="C7" s="7"/>
      <c r="D7" s="7">
        <v>520.5</v>
      </c>
      <c r="E7" s="7">
        <v>543</v>
      </c>
      <c r="F7" s="7"/>
      <c r="G7" s="7"/>
      <c r="H7" s="7">
        <v>723</v>
      </c>
      <c r="I7" s="7">
        <v>540</v>
      </c>
      <c r="J7" s="7">
        <v>7.5</v>
      </c>
      <c r="K7" s="7"/>
      <c r="L7" s="7"/>
      <c r="M7" s="7"/>
      <c r="N7" s="23">
        <f t="shared" si="0"/>
        <v>2915.25</v>
      </c>
    </row>
    <row r="8" spans="1:14" x14ac:dyDescent="0.45">
      <c r="A8" s="22" t="s">
        <v>61</v>
      </c>
      <c r="B8" s="7">
        <v>1836</v>
      </c>
      <c r="C8" s="7">
        <v>1170.75</v>
      </c>
      <c r="D8" s="7"/>
      <c r="E8" s="7"/>
      <c r="F8" s="7">
        <v>2376</v>
      </c>
      <c r="G8" s="7">
        <v>1161.75</v>
      </c>
      <c r="H8" s="7"/>
      <c r="I8" s="7"/>
      <c r="J8" s="7"/>
      <c r="K8" s="7"/>
      <c r="L8" s="7">
        <v>541.5</v>
      </c>
      <c r="M8" s="7">
        <v>544.5</v>
      </c>
      <c r="N8" s="23">
        <f t="shared" si="0"/>
        <v>7630.5</v>
      </c>
    </row>
    <row r="9" spans="1:14" x14ac:dyDescent="0.45">
      <c r="A9" s="22" t="s">
        <v>62</v>
      </c>
      <c r="B9" s="7">
        <v>7176</v>
      </c>
      <c r="C9" s="7"/>
      <c r="D9" s="7">
        <v>2832.3</v>
      </c>
      <c r="E9" s="7">
        <v>3475.2</v>
      </c>
      <c r="F9" s="7"/>
      <c r="G9" s="7">
        <v>10321.35</v>
      </c>
      <c r="H9" s="7">
        <v>12137.6</v>
      </c>
      <c r="I9" s="7">
        <v>3456</v>
      </c>
      <c r="J9" s="7">
        <v>683.2</v>
      </c>
      <c r="K9" s="7"/>
      <c r="L9" s="7"/>
      <c r="M9" s="7"/>
      <c r="N9" s="23">
        <f t="shared" si="0"/>
        <v>40081.649999999994</v>
      </c>
    </row>
    <row r="10" spans="1:14" x14ac:dyDescent="0.45">
      <c r="A10" s="22" t="s">
        <v>63</v>
      </c>
      <c r="B10" s="7">
        <v>3456</v>
      </c>
      <c r="C10" s="7">
        <v>10857.2</v>
      </c>
      <c r="D10" s="7">
        <v>1632</v>
      </c>
      <c r="E10" s="7"/>
      <c r="F10" s="7">
        <v>4536</v>
      </c>
      <c r="G10" s="7">
        <v>3518.4</v>
      </c>
      <c r="H10" s="7">
        <v>3840</v>
      </c>
      <c r="I10" s="7"/>
      <c r="J10" s="7"/>
      <c r="K10" s="7"/>
      <c r="L10" s="7"/>
      <c r="M10" s="7">
        <v>3484.8</v>
      </c>
      <c r="N10" s="23">
        <f t="shared" si="0"/>
        <v>31324.400000000001</v>
      </c>
    </row>
    <row r="11" spans="1:14" x14ac:dyDescent="0.45">
      <c r="A11" s="22" t="s">
        <v>64</v>
      </c>
      <c r="B11" s="7">
        <v>16170.8</v>
      </c>
      <c r="C11" s="7">
        <v>17323.2</v>
      </c>
      <c r="D11" s="7">
        <v>18336</v>
      </c>
      <c r="E11" s="7">
        <v>5115.6000000000004</v>
      </c>
      <c r="F11" s="7">
        <v>84367.6</v>
      </c>
      <c r="G11" s="7">
        <v>50121.45</v>
      </c>
      <c r="H11" s="7">
        <v>64316</v>
      </c>
      <c r="I11" s="7">
        <v>62928</v>
      </c>
      <c r="J11" s="7">
        <v>29909.200000000001</v>
      </c>
      <c r="K11" s="7">
        <v>3456</v>
      </c>
      <c r="L11" s="7">
        <v>2264.8000000000002</v>
      </c>
      <c r="M11" s="7">
        <v>9841.6</v>
      </c>
      <c r="N11" s="23">
        <f t="shared" si="0"/>
        <v>364150.25</v>
      </c>
    </row>
    <row r="12" spans="1:14" x14ac:dyDescent="0.45">
      <c r="A12" s="22" t="s">
        <v>65</v>
      </c>
      <c r="B12" s="7">
        <v>31316</v>
      </c>
      <c r="C12" s="7">
        <v>34057.199999999997</v>
      </c>
      <c r="D12" s="7">
        <v>16748</v>
      </c>
      <c r="E12" s="7">
        <v>8640</v>
      </c>
      <c r="F12" s="7">
        <v>36114</v>
      </c>
      <c r="G12" s="7">
        <v>16412.599999999999</v>
      </c>
      <c r="H12" s="7">
        <v>52690.75</v>
      </c>
      <c r="I12" s="7">
        <v>2304</v>
      </c>
      <c r="J12" s="7">
        <v>30038</v>
      </c>
      <c r="K12" s="7">
        <v>16646.8</v>
      </c>
      <c r="L12" s="7">
        <v>17017.25</v>
      </c>
      <c r="M12" s="7">
        <v>2662.7</v>
      </c>
      <c r="N12" s="23">
        <f t="shared" si="0"/>
        <v>264647.3</v>
      </c>
    </row>
    <row r="13" spans="1:14" x14ac:dyDescent="0.45">
      <c r="A13" s="22" t="s">
        <v>83</v>
      </c>
      <c r="B13" s="7"/>
      <c r="C13" s="7"/>
      <c r="D13" s="7"/>
      <c r="E13" s="7"/>
      <c r="F13" s="7"/>
      <c r="G13" s="7">
        <v>3710.4</v>
      </c>
      <c r="H13" s="7">
        <v>6976.8</v>
      </c>
      <c r="I13" s="7">
        <v>4728</v>
      </c>
      <c r="J13" s="7">
        <v>12153.6</v>
      </c>
      <c r="K13" s="7">
        <v>3456</v>
      </c>
      <c r="L13" s="7">
        <v>0</v>
      </c>
      <c r="M13" s="7">
        <v>21845.1</v>
      </c>
      <c r="N13" s="23">
        <f t="shared" si="0"/>
        <v>52869.9</v>
      </c>
    </row>
    <row r="14" spans="1:14" x14ac:dyDescent="0.45">
      <c r="A14" s="22" t="s">
        <v>84</v>
      </c>
      <c r="B14" s="7"/>
      <c r="C14" s="7"/>
      <c r="D14" s="7"/>
      <c r="E14" s="7"/>
      <c r="F14" s="7"/>
      <c r="G14" s="7"/>
      <c r="H14" s="7">
        <v>3840</v>
      </c>
      <c r="I14" s="7"/>
      <c r="J14" s="7"/>
      <c r="K14" s="7">
        <v>1713.6</v>
      </c>
      <c r="L14" s="7">
        <v>6981.51</v>
      </c>
      <c r="M14" s="7">
        <v>20976</v>
      </c>
      <c r="N14" s="23">
        <f t="shared" si="0"/>
        <v>33511.11</v>
      </c>
    </row>
    <row r="15" spans="1:14" x14ac:dyDescent="0.45">
      <c r="A15" s="22" t="s">
        <v>85</v>
      </c>
      <c r="B15" s="7"/>
      <c r="C15" s="7"/>
      <c r="D15" s="7"/>
      <c r="E15" s="7"/>
      <c r="F15" s="7"/>
      <c r="G15" s="7"/>
      <c r="H15" s="7">
        <v>3456</v>
      </c>
      <c r="I15" s="7"/>
      <c r="J15" s="7"/>
      <c r="K15" s="7"/>
      <c r="L15" s="7"/>
      <c r="M15" s="7"/>
      <c r="N15" s="23">
        <f t="shared" si="0"/>
        <v>3456</v>
      </c>
    </row>
    <row r="16" spans="1:14" x14ac:dyDescent="0.45">
      <c r="A16" s="22" t="s">
        <v>58</v>
      </c>
      <c r="B16" s="7">
        <v>8860</v>
      </c>
      <c r="C16" s="7"/>
      <c r="D16" s="7"/>
      <c r="E16" s="7">
        <v>2896</v>
      </c>
      <c r="F16" s="7">
        <v>17608</v>
      </c>
      <c r="G16" s="7">
        <v>20496</v>
      </c>
      <c r="H16" s="7">
        <v>11520</v>
      </c>
      <c r="I16" s="7">
        <v>9384</v>
      </c>
      <c r="J16" s="7">
        <v>5944</v>
      </c>
      <c r="K16" s="7">
        <v>2880</v>
      </c>
      <c r="L16" s="7"/>
      <c r="M16" s="7"/>
      <c r="N16" s="23">
        <f t="shared" si="0"/>
        <v>79588</v>
      </c>
    </row>
    <row r="17" spans="1:16" x14ac:dyDescent="0.45">
      <c r="A17" s="22" t="s">
        <v>59</v>
      </c>
      <c r="B17" s="7">
        <v>8640</v>
      </c>
      <c r="C17" s="7">
        <v>15268</v>
      </c>
      <c r="D17" s="7"/>
      <c r="E17" s="7">
        <v>2880</v>
      </c>
      <c r="F17" s="7">
        <v>8640</v>
      </c>
      <c r="G17" s="7">
        <v>2932</v>
      </c>
      <c r="H17" s="7">
        <v>14384</v>
      </c>
      <c r="I17" s="7">
        <v>8640</v>
      </c>
      <c r="J17" s="7"/>
      <c r="K17" s="7"/>
      <c r="L17" s="7">
        <v>2888</v>
      </c>
      <c r="M17" s="7"/>
      <c r="N17" s="23">
        <f t="shared" si="0"/>
        <v>64272</v>
      </c>
    </row>
    <row r="18" spans="1:16" x14ac:dyDescent="0.45">
      <c r="A18" s="22" t="s">
        <v>86</v>
      </c>
      <c r="B18" s="7"/>
      <c r="C18" s="7"/>
      <c r="D18" s="7"/>
      <c r="E18" s="7"/>
      <c r="F18" s="7"/>
      <c r="G18" s="7"/>
      <c r="H18" s="7"/>
      <c r="I18" s="7"/>
      <c r="J18" s="7">
        <v>89028</v>
      </c>
      <c r="K18" s="7">
        <v>5760</v>
      </c>
      <c r="L18" s="7"/>
      <c r="M18" s="7">
        <v>12592</v>
      </c>
      <c r="N18" s="23">
        <f t="shared" si="0"/>
        <v>107380</v>
      </c>
    </row>
    <row r="19" spans="1:16" x14ac:dyDescent="0.45">
      <c r="A19" s="22" t="s">
        <v>87</v>
      </c>
      <c r="B19" s="7"/>
      <c r="C19" s="7"/>
      <c r="D19" s="7"/>
      <c r="E19" s="7"/>
      <c r="F19" s="7"/>
      <c r="G19" s="7"/>
      <c r="H19" s="7"/>
      <c r="I19" s="7">
        <v>10880</v>
      </c>
      <c r="J19" s="7">
        <v>28262</v>
      </c>
      <c r="K19" s="7">
        <v>38747.599999999999</v>
      </c>
      <c r="L19" s="7">
        <v>26268</v>
      </c>
      <c r="M19" s="7">
        <v>21512</v>
      </c>
      <c r="N19" s="23">
        <f t="shared" si="0"/>
        <v>125669.6</v>
      </c>
    </row>
    <row r="20" spans="1:16" x14ac:dyDescent="0.45">
      <c r="A20" s="22" t="s">
        <v>88</v>
      </c>
      <c r="B20" s="7"/>
      <c r="C20" s="7"/>
      <c r="D20" s="7"/>
      <c r="E20" s="7"/>
      <c r="F20" s="7"/>
      <c r="G20" s="7"/>
      <c r="H20" s="7"/>
      <c r="I20" s="7"/>
      <c r="J20" s="7"/>
      <c r="K20" s="7">
        <v>3000</v>
      </c>
      <c r="L20" s="7"/>
      <c r="M20" s="7">
        <v>3000</v>
      </c>
      <c r="N20" s="23">
        <f t="shared" si="0"/>
        <v>6000</v>
      </c>
    </row>
    <row r="21" spans="1:16" x14ac:dyDescent="0.45">
      <c r="A21" s="22" t="s">
        <v>91</v>
      </c>
      <c r="B21" s="7"/>
      <c r="C21" s="7"/>
      <c r="D21" s="7"/>
      <c r="E21" s="7"/>
      <c r="F21" s="7"/>
      <c r="G21" s="7"/>
      <c r="H21" s="7"/>
      <c r="I21" s="7">
        <v>2000</v>
      </c>
      <c r="J21" s="7">
        <v>2000</v>
      </c>
      <c r="K21" s="7">
        <v>8000</v>
      </c>
      <c r="L21" s="7">
        <v>5000</v>
      </c>
      <c r="M21" s="7"/>
      <c r="N21" s="23">
        <f t="shared" si="0"/>
        <v>17000</v>
      </c>
    </row>
    <row r="22" spans="1:16" x14ac:dyDescent="0.45">
      <c r="A22" s="22" t="s">
        <v>66</v>
      </c>
      <c r="B22" s="7">
        <f>1607.59+4733.68</f>
        <v>6341.27</v>
      </c>
      <c r="C22" s="7">
        <v>0</v>
      </c>
      <c r="D22" s="7">
        <f>2028.92+1000</f>
        <v>3028.92</v>
      </c>
      <c r="E22" s="7">
        <v>2621.2199999999998</v>
      </c>
      <c r="F22" s="7">
        <f>28049.44+11234.41-F29</f>
        <v>37459.72</v>
      </c>
      <c r="G22" s="7">
        <f>35212.28+20477.59</f>
        <v>55689.869999999995</v>
      </c>
      <c r="H22" s="7">
        <f>49159.31+14682.81</f>
        <v>63842.119999999995</v>
      </c>
      <c r="I22" s="7">
        <f>47731.2+25677.64-I29</f>
        <v>64704.619999999995</v>
      </c>
      <c r="J22" s="7">
        <f>34506.55+2098.78</f>
        <v>36605.33</v>
      </c>
      <c r="K22" s="7">
        <f>3595.83+6491.52-K29</f>
        <v>3595.83</v>
      </c>
      <c r="L22" s="7">
        <f>5990.58</f>
        <v>5990.58</v>
      </c>
      <c r="M22" s="7">
        <f>11215.99+1864.8</f>
        <v>13080.789999999999</v>
      </c>
      <c r="N22" s="23">
        <f t="shared" si="0"/>
        <v>292960.27</v>
      </c>
    </row>
    <row r="23" spans="1:16" x14ac:dyDescent="0.45">
      <c r="A23" s="22" t="s">
        <v>67</v>
      </c>
      <c r="B23" s="7">
        <f>1234.47+1244.25</f>
        <v>2478.7200000000003</v>
      </c>
      <c r="C23" s="7">
        <f>3990.96+4801.54</f>
        <v>8792.5</v>
      </c>
      <c r="D23" s="7">
        <f>1587.74</f>
        <v>1587.74</v>
      </c>
      <c r="E23" s="7">
        <f>2290</f>
        <v>2290</v>
      </c>
      <c r="F23" s="7">
        <f>7350.44+2928.64</f>
        <v>10279.08</v>
      </c>
      <c r="G23" s="7">
        <f>27405.05+42.26</f>
        <v>27447.309999999998</v>
      </c>
      <c r="H23" s="7">
        <f>9265.03+809.61</f>
        <v>10074.640000000001</v>
      </c>
      <c r="I23" s="7">
        <f>5349.77+6728.1</f>
        <v>12077.87</v>
      </c>
      <c r="J23" s="7">
        <f>19319.11+2795.24</f>
        <v>22114.35</v>
      </c>
      <c r="K23" s="7">
        <f>33109.17+1846.45</f>
        <v>34955.619999999995</v>
      </c>
      <c r="L23" s="7">
        <f>41026.54+557.2</f>
        <v>41583.74</v>
      </c>
      <c r="M23" s="7">
        <v>25491.91</v>
      </c>
      <c r="N23" s="23">
        <f t="shared" si="0"/>
        <v>199173.47999999998</v>
      </c>
    </row>
    <row r="24" spans="1:16" x14ac:dyDescent="0.45">
      <c r="A24" s="22" t="s">
        <v>89</v>
      </c>
      <c r="B24" s="7"/>
      <c r="C24" s="7"/>
      <c r="D24" s="7"/>
      <c r="E24" s="7"/>
      <c r="F24" s="7"/>
      <c r="G24" s="7"/>
      <c r="H24" s="7"/>
      <c r="I24" s="7">
        <v>5600</v>
      </c>
      <c r="J24" s="7"/>
      <c r="K24" s="7"/>
      <c r="L24" s="7"/>
      <c r="M24" s="7"/>
      <c r="N24" s="23">
        <f t="shared" si="0"/>
        <v>5600</v>
      </c>
    </row>
    <row r="25" spans="1:16" x14ac:dyDescent="0.45">
      <c r="A25" s="22" t="s">
        <v>90</v>
      </c>
      <c r="B25" s="7">
        <v>3500</v>
      </c>
      <c r="C25" s="7"/>
      <c r="D25" s="7"/>
      <c r="E25" s="7"/>
      <c r="F25" s="7"/>
      <c r="G25" s="7"/>
      <c r="H25" s="7"/>
      <c r="I25" s="7">
        <v>1400</v>
      </c>
      <c r="J25" s="7"/>
      <c r="K25" s="7"/>
      <c r="L25" s="7">
        <v>8400</v>
      </c>
      <c r="M25" s="7"/>
      <c r="N25" s="23">
        <f t="shared" si="0"/>
        <v>13300</v>
      </c>
    </row>
    <row r="26" spans="1:16" x14ac:dyDescent="0.45">
      <c r="A26" s="22" t="s">
        <v>56</v>
      </c>
      <c r="B26" s="7"/>
      <c r="C26" s="7"/>
      <c r="D26" s="7"/>
      <c r="E26" s="7"/>
      <c r="F26" s="7">
        <v>59500</v>
      </c>
      <c r="G26" s="7">
        <v>25500</v>
      </c>
      <c r="H26" s="7">
        <v>102000</v>
      </c>
      <c r="I26" s="7">
        <v>110500</v>
      </c>
      <c r="J26" s="7">
        <v>17000</v>
      </c>
      <c r="K26" s="7"/>
      <c r="L26" s="7">
        <v>17000</v>
      </c>
      <c r="M26" s="7">
        <v>4000</v>
      </c>
      <c r="N26" s="23">
        <f t="shared" si="0"/>
        <v>335500</v>
      </c>
    </row>
    <row r="27" spans="1:16" x14ac:dyDescent="0.45">
      <c r="A27" s="22" t="s">
        <v>57</v>
      </c>
      <c r="B27" s="7">
        <v>17000</v>
      </c>
      <c r="C27" s="7">
        <v>8500</v>
      </c>
      <c r="D27" s="7"/>
      <c r="E27" s="7"/>
      <c r="F27" s="7"/>
      <c r="G27" s="7">
        <v>8500</v>
      </c>
      <c r="H27" s="7">
        <v>8500</v>
      </c>
      <c r="I27" s="7">
        <v>17000</v>
      </c>
      <c r="J27" s="7">
        <v>33550</v>
      </c>
      <c r="K27" s="7">
        <v>8950</v>
      </c>
      <c r="L27" s="7">
        <v>17000</v>
      </c>
      <c r="M27" s="7"/>
      <c r="N27" s="23">
        <f t="shared" si="0"/>
        <v>119000</v>
      </c>
    </row>
    <row r="28" spans="1:16" x14ac:dyDescent="0.45">
      <c r="A28" s="6" t="s">
        <v>39</v>
      </c>
      <c r="B28" s="7"/>
      <c r="C28" s="7"/>
      <c r="D28" s="7"/>
      <c r="E28" s="7"/>
      <c r="F28" s="7"/>
      <c r="G28" s="7"/>
      <c r="H28" s="7"/>
      <c r="I28" s="7">
        <v>978.64</v>
      </c>
      <c r="J28" s="7">
        <v>1957.28</v>
      </c>
      <c r="K28" s="7">
        <v>1664.25</v>
      </c>
      <c r="L28" s="7"/>
      <c r="M28" s="7"/>
      <c r="N28" s="23">
        <f t="shared" si="0"/>
        <v>4600.17</v>
      </c>
    </row>
    <row r="29" spans="1:16" x14ac:dyDescent="0.45">
      <c r="A29" s="6" t="s">
        <v>40</v>
      </c>
      <c r="B29" s="7"/>
      <c r="C29" s="7"/>
      <c r="D29" s="7"/>
      <c r="E29" s="7"/>
      <c r="F29" s="7">
        <v>1824.13</v>
      </c>
      <c r="G29" s="7"/>
      <c r="H29" s="7"/>
      <c r="I29" s="7">
        <v>8704.2199999999993</v>
      </c>
      <c r="J29" s="7"/>
      <c r="K29" s="7">
        <f>4495.68+1995.84</f>
        <v>6491.52</v>
      </c>
      <c r="L29" s="7"/>
      <c r="M29" s="7"/>
      <c r="N29" s="23">
        <f t="shared" si="0"/>
        <v>17019.87</v>
      </c>
    </row>
    <row r="30" spans="1:16" x14ac:dyDescent="0.45">
      <c r="A30" s="4" t="s">
        <v>22</v>
      </c>
      <c r="B30" s="5">
        <f>SUM(B6:B29)</f>
        <v>108652.04000000001</v>
      </c>
      <c r="C30" s="5">
        <f t="shared" ref="C30:M30" si="1">SUM(C6:C29)</f>
        <v>95968.85</v>
      </c>
      <c r="D30" s="5">
        <f t="shared" si="1"/>
        <v>44685.46</v>
      </c>
      <c r="E30" s="5">
        <f t="shared" si="1"/>
        <v>28461.02</v>
      </c>
      <c r="F30" s="5">
        <f t="shared" si="1"/>
        <v>262704.52999999997</v>
      </c>
      <c r="G30" s="5">
        <f t="shared" si="1"/>
        <v>225811.12999999998</v>
      </c>
      <c r="H30" s="5">
        <f t="shared" si="1"/>
        <v>358300.91000000003</v>
      </c>
      <c r="I30" s="5">
        <f t="shared" si="1"/>
        <v>325825.34999999998</v>
      </c>
      <c r="J30" s="5">
        <f t="shared" si="1"/>
        <v>309252.46000000008</v>
      </c>
      <c r="K30" s="5">
        <f t="shared" si="1"/>
        <v>139317.22</v>
      </c>
      <c r="L30" s="5">
        <f t="shared" si="1"/>
        <v>150935.38</v>
      </c>
      <c r="M30" s="5">
        <f t="shared" si="1"/>
        <v>139031.4</v>
      </c>
      <c r="N30" s="5">
        <f>SUM(N4:N29)</f>
        <v>2308926.06</v>
      </c>
      <c r="O30" s="1"/>
      <c r="P30" s="1"/>
    </row>
    <row r="31" spans="1:16" x14ac:dyDescent="0.45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6" ht="21" x14ac:dyDescent="0.65">
      <c r="A32" s="14" t="s">
        <v>26</v>
      </c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4" x14ac:dyDescent="0.45">
      <c r="A33" s="12" t="s">
        <v>25</v>
      </c>
      <c r="B33" s="12" t="s">
        <v>1</v>
      </c>
      <c r="C33" s="12" t="s">
        <v>2</v>
      </c>
      <c r="D33" s="12" t="s">
        <v>3</v>
      </c>
      <c r="E33" s="12" t="s">
        <v>4</v>
      </c>
      <c r="F33" s="12" t="s">
        <v>5</v>
      </c>
      <c r="G33" s="12" t="s">
        <v>6</v>
      </c>
      <c r="H33" s="12" t="s">
        <v>7</v>
      </c>
      <c r="I33" s="12" t="s">
        <v>8</v>
      </c>
      <c r="J33" s="12" t="s">
        <v>9</v>
      </c>
      <c r="K33" s="12" t="s">
        <v>10</v>
      </c>
      <c r="L33" s="12" t="s">
        <v>11</v>
      </c>
      <c r="M33" s="12" t="s">
        <v>12</v>
      </c>
      <c r="N33" s="12" t="s">
        <v>17</v>
      </c>
    </row>
    <row r="34" spans="1:14" x14ac:dyDescent="0.45">
      <c r="A34" s="6" t="s">
        <v>27</v>
      </c>
      <c r="B34" s="3">
        <v>20000</v>
      </c>
      <c r="C34" s="3">
        <v>32000</v>
      </c>
      <c r="D34" s="3">
        <v>20000</v>
      </c>
      <c r="E34" s="3">
        <v>20000</v>
      </c>
      <c r="F34" s="3">
        <v>56000</v>
      </c>
      <c r="G34" s="3"/>
      <c r="H34" s="3">
        <v>36000</v>
      </c>
      <c r="I34" s="3">
        <v>20000</v>
      </c>
      <c r="J34" s="3">
        <v>94200</v>
      </c>
      <c r="K34" s="3">
        <v>20000</v>
      </c>
      <c r="L34" s="3"/>
      <c r="M34" s="3">
        <v>57000</v>
      </c>
      <c r="N34" s="5">
        <f>SUM(B34:M34)</f>
        <v>375200</v>
      </c>
    </row>
    <row r="35" spans="1:14" x14ac:dyDescent="0.45">
      <c r="A35" s="6" t="s">
        <v>71</v>
      </c>
      <c r="B35" s="3">
        <f>22227.2+9568</f>
        <v>31795.200000000001</v>
      </c>
      <c r="C35" s="3">
        <f>11187.2+4784</f>
        <v>15971.2</v>
      </c>
      <c r="D35" s="3">
        <f>12687.2+4784</f>
        <v>17471.2</v>
      </c>
      <c r="E35" s="3">
        <f>11187.2+4784</f>
        <v>15971.2</v>
      </c>
      <c r="F35" s="3">
        <f>11040+4784</f>
        <v>15824</v>
      </c>
      <c r="G35" s="3">
        <f>9163.2+4784</f>
        <v>13947.2</v>
      </c>
      <c r="H35" s="3">
        <f>13625.77+4784</f>
        <v>18409.77</v>
      </c>
      <c r="I35" s="3">
        <f>9752+4784</f>
        <v>14536</v>
      </c>
      <c r="J35" s="3">
        <f>11113.6+4784</f>
        <v>15897.6</v>
      </c>
      <c r="K35" s="3">
        <f>11113.6+4784</f>
        <v>15897.6</v>
      </c>
      <c r="L35" s="3">
        <f>16127.6+6578</f>
        <v>22705.599999999999</v>
      </c>
      <c r="M35" s="3">
        <f>11113.6+4784</f>
        <v>15897.6</v>
      </c>
      <c r="N35" s="5">
        <f t="shared" ref="N35:N51" si="2">SUM(B35:M35)</f>
        <v>214324.17000000004</v>
      </c>
    </row>
    <row r="36" spans="1:14" x14ac:dyDescent="0.45">
      <c r="A36" s="6" t="s">
        <v>95</v>
      </c>
      <c r="B36" s="3">
        <f>122071+5737.12</f>
        <v>127808.12</v>
      </c>
      <c r="C36" s="3">
        <v>2205.2399999999998</v>
      </c>
      <c r="D36" s="3"/>
      <c r="E36" s="3"/>
      <c r="F36" s="3"/>
      <c r="G36" s="3"/>
      <c r="H36" s="3"/>
      <c r="I36" s="3"/>
      <c r="J36" s="3"/>
      <c r="K36" s="3"/>
      <c r="L36" s="3"/>
      <c r="M36" s="3"/>
      <c r="N36" s="5">
        <f t="shared" si="2"/>
        <v>130013.36</v>
      </c>
    </row>
    <row r="37" spans="1:14" x14ac:dyDescent="0.45">
      <c r="A37" s="6" t="s">
        <v>28</v>
      </c>
      <c r="B37" s="3">
        <f>6444.53</f>
        <v>6444.53</v>
      </c>
      <c r="C37" s="3">
        <f>21149.69</f>
        <v>21149.69</v>
      </c>
      <c r="D37" s="3">
        <f>13168.95</f>
        <v>13168.95</v>
      </c>
      <c r="E37" s="3">
        <f>15368.02</f>
        <v>15368.02</v>
      </c>
      <c r="F37" s="3">
        <f>23111.82</f>
        <v>23111.82</v>
      </c>
      <c r="G37" s="3">
        <f>95756.63</f>
        <v>95756.63</v>
      </c>
      <c r="H37" s="3">
        <f>131275.08</f>
        <v>131275.07999999999</v>
      </c>
      <c r="I37" s="3">
        <f>94687.83</f>
        <v>94687.83</v>
      </c>
      <c r="J37" s="3">
        <v>110070.32</v>
      </c>
      <c r="K37" s="3">
        <f>88178.04</f>
        <v>88178.04</v>
      </c>
      <c r="L37" s="3">
        <f>67142.67</f>
        <v>67142.67</v>
      </c>
      <c r="M37" s="3">
        <f>31407.6</f>
        <v>31407.599999999999</v>
      </c>
      <c r="N37" s="5">
        <f t="shared" si="2"/>
        <v>697761.18</v>
      </c>
    </row>
    <row r="38" spans="1:14" x14ac:dyDescent="0.45">
      <c r="A38" s="6" t="s">
        <v>73</v>
      </c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5">
        <f t="shared" si="2"/>
        <v>0</v>
      </c>
    </row>
    <row r="39" spans="1:14" x14ac:dyDescent="0.45">
      <c r="A39" s="6" t="s">
        <v>45</v>
      </c>
      <c r="B39" s="3"/>
      <c r="C39" s="3"/>
      <c r="D39" s="3"/>
      <c r="E39" s="3"/>
      <c r="F39" s="3"/>
      <c r="G39" s="3">
        <v>20000</v>
      </c>
      <c r="H39" s="3">
        <v>15000</v>
      </c>
      <c r="I39" s="3">
        <v>36881.46</v>
      </c>
      <c r="J39" s="3"/>
      <c r="K39" s="3"/>
      <c r="L39" s="3"/>
      <c r="M39" s="3"/>
      <c r="N39" s="5">
        <f t="shared" si="2"/>
        <v>71881.459999999992</v>
      </c>
    </row>
    <row r="40" spans="1:14" x14ac:dyDescent="0.45">
      <c r="A40" s="6" t="s">
        <v>46</v>
      </c>
      <c r="B40" s="3"/>
      <c r="C40" s="3"/>
      <c r="D40" s="3"/>
      <c r="E40" s="3"/>
      <c r="F40" s="3"/>
      <c r="G40" s="3"/>
      <c r="H40" s="3"/>
      <c r="I40" s="3"/>
      <c r="J40" s="3">
        <v>500</v>
      </c>
      <c r="K40" s="3"/>
      <c r="L40" s="3"/>
      <c r="M40" s="3"/>
      <c r="N40" s="5">
        <f t="shared" si="2"/>
        <v>500</v>
      </c>
    </row>
    <row r="41" spans="1:14" ht="28.5" x14ac:dyDescent="0.45">
      <c r="A41" s="6" t="s">
        <v>70</v>
      </c>
      <c r="B41" s="3">
        <v>1700</v>
      </c>
      <c r="C41" s="3">
        <v>1700</v>
      </c>
      <c r="D41" s="3">
        <v>1700</v>
      </c>
      <c r="E41" s="3">
        <v>1800</v>
      </c>
      <c r="F41" s="3">
        <v>1800</v>
      </c>
      <c r="G41" s="3">
        <f>1800+450</f>
        <v>2250</v>
      </c>
      <c r="H41" s="3">
        <f>1800+336</f>
        <v>2136</v>
      </c>
      <c r="I41" s="3">
        <f>1800+652.5</f>
        <v>2452.5</v>
      </c>
      <c r="J41" s="3">
        <v>1800</v>
      </c>
      <c r="K41" s="3">
        <v>1800</v>
      </c>
      <c r="L41" s="3">
        <v>1800</v>
      </c>
      <c r="M41" s="3">
        <v>1800</v>
      </c>
      <c r="N41" s="5">
        <f t="shared" si="2"/>
        <v>22738.5</v>
      </c>
    </row>
    <row r="42" spans="1:14" ht="28.5" x14ac:dyDescent="0.45">
      <c r="A42" s="6" t="s">
        <v>101</v>
      </c>
      <c r="B42" s="3"/>
      <c r="C42" s="3"/>
      <c r="D42" s="3"/>
      <c r="E42" s="3"/>
      <c r="F42" s="3"/>
      <c r="G42" s="3"/>
      <c r="H42" s="3">
        <v>168080</v>
      </c>
      <c r="I42" s="3">
        <f>221436+9800</f>
        <v>231236</v>
      </c>
      <c r="J42" s="3"/>
      <c r="K42" s="3"/>
      <c r="L42" s="3"/>
      <c r="M42" s="3">
        <f>125602.5+15000</f>
        <v>140602.5</v>
      </c>
      <c r="N42" s="5">
        <f t="shared" si="2"/>
        <v>539918.5</v>
      </c>
    </row>
    <row r="43" spans="1:14" x14ac:dyDescent="0.45">
      <c r="A43" s="6" t="s">
        <v>96</v>
      </c>
      <c r="B43" s="3"/>
      <c r="C43" s="3"/>
      <c r="D43" s="3"/>
      <c r="E43" s="3"/>
      <c r="F43" s="3">
        <v>70.099999999999994</v>
      </c>
      <c r="G43" s="3"/>
      <c r="H43" s="3">
        <f>2000</f>
        <v>2000</v>
      </c>
      <c r="I43" s="3"/>
      <c r="J43" s="3"/>
      <c r="K43" s="3"/>
      <c r="L43" s="3"/>
      <c r="M43" s="3"/>
      <c r="N43" s="5">
        <f t="shared" si="2"/>
        <v>2070.1</v>
      </c>
    </row>
    <row r="44" spans="1:14" x14ac:dyDescent="0.45">
      <c r="A44" s="6" t="s">
        <v>72</v>
      </c>
      <c r="B44" s="3"/>
      <c r="C44" s="3"/>
      <c r="D44" s="3"/>
      <c r="E44" s="3"/>
      <c r="F44" s="3"/>
      <c r="G44" s="3"/>
      <c r="H44" s="3"/>
      <c r="I44" s="3"/>
      <c r="J44" s="3">
        <v>3300</v>
      </c>
      <c r="K44" s="3">
        <v>3200</v>
      </c>
      <c r="L44" s="3"/>
      <c r="M44" s="3"/>
      <c r="N44" s="5">
        <f t="shared" si="2"/>
        <v>6500</v>
      </c>
    </row>
    <row r="45" spans="1:14" x14ac:dyDescent="0.45">
      <c r="A45" s="6" t="s">
        <v>49</v>
      </c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5">
        <f t="shared" si="2"/>
        <v>0</v>
      </c>
    </row>
    <row r="46" spans="1:14" ht="28.5" x14ac:dyDescent="0.45">
      <c r="A46" s="6" t="s">
        <v>50</v>
      </c>
      <c r="B46" s="3"/>
      <c r="C46" s="3"/>
      <c r="D46" s="3"/>
      <c r="E46" s="3"/>
      <c r="F46" s="3">
        <v>900</v>
      </c>
      <c r="G46" s="3"/>
      <c r="H46" s="3"/>
      <c r="I46" s="3"/>
      <c r="J46" s="3"/>
      <c r="K46" s="3"/>
      <c r="L46" s="3"/>
      <c r="M46" s="3"/>
      <c r="N46" s="5">
        <f t="shared" si="2"/>
        <v>900</v>
      </c>
    </row>
    <row r="47" spans="1:14" x14ac:dyDescent="0.45">
      <c r="A47" s="6" t="s">
        <v>98</v>
      </c>
      <c r="B47" s="3"/>
      <c r="C47" s="3"/>
      <c r="D47" s="3"/>
      <c r="E47" s="3"/>
      <c r="F47" s="3"/>
      <c r="G47" s="3">
        <v>2000</v>
      </c>
      <c r="H47" s="3">
        <v>20000</v>
      </c>
      <c r="I47" s="3">
        <f>30000+3000</f>
        <v>33000</v>
      </c>
      <c r="J47" s="3">
        <v>18696.099999999999</v>
      </c>
      <c r="K47" s="3">
        <v>8000</v>
      </c>
      <c r="L47" s="3"/>
      <c r="M47" s="3">
        <v>3972.2</v>
      </c>
      <c r="N47" s="5">
        <f t="shared" si="2"/>
        <v>85668.3</v>
      </c>
    </row>
    <row r="48" spans="1:14" ht="15" customHeight="1" x14ac:dyDescent="0.45">
      <c r="A48" s="6" t="s">
        <v>97</v>
      </c>
      <c r="B48" s="3"/>
      <c r="C48" s="3"/>
      <c r="D48" s="3"/>
      <c r="E48" s="3"/>
      <c r="F48" s="3"/>
      <c r="G48" s="3"/>
      <c r="H48" s="3">
        <v>2000</v>
      </c>
      <c r="I48" s="3">
        <v>1000</v>
      </c>
      <c r="J48" s="3"/>
      <c r="K48" s="3"/>
      <c r="L48" s="3"/>
      <c r="M48" s="3"/>
      <c r="N48" s="5">
        <f t="shared" si="2"/>
        <v>3000</v>
      </c>
    </row>
    <row r="49" spans="1:15" ht="30.75" customHeight="1" x14ac:dyDescent="0.45">
      <c r="A49" s="6" t="s">
        <v>100</v>
      </c>
      <c r="B49" s="3"/>
      <c r="C49" s="3"/>
      <c r="D49" s="3"/>
      <c r="E49" s="3"/>
      <c r="F49" s="3">
        <v>11000</v>
      </c>
      <c r="G49" s="3">
        <v>24300</v>
      </c>
      <c r="H49" s="3"/>
      <c r="I49" s="3"/>
      <c r="J49" s="3"/>
      <c r="K49" s="3"/>
      <c r="L49" s="3"/>
      <c r="M49" s="3"/>
      <c r="N49" s="5">
        <f t="shared" si="2"/>
        <v>35300</v>
      </c>
    </row>
    <row r="50" spans="1:15" x14ac:dyDescent="0.45">
      <c r="A50" s="6" t="s">
        <v>32</v>
      </c>
      <c r="B50" s="3">
        <v>3000</v>
      </c>
      <c r="C50" s="3"/>
      <c r="D50" s="3">
        <v>6000</v>
      </c>
      <c r="E50" s="3">
        <v>3000</v>
      </c>
      <c r="F50" s="3">
        <v>3000</v>
      </c>
      <c r="G50" s="3"/>
      <c r="H50" s="3">
        <v>6000</v>
      </c>
      <c r="I50" s="3"/>
      <c r="J50" s="3">
        <v>3000</v>
      </c>
      <c r="K50" s="3">
        <v>1200</v>
      </c>
      <c r="L50" s="3">
        <v>5000</v>
      </c>
      <c r="M50" s="3">
        <v>5800</v>
      </c>
      <c r="N50" s="5">
        <f t="shared" si="2"/>
        <v>36000</v>
      </c>
    </row>
    <row r="51" spans="1:15" x14ac:dyDescent="0.45">
      <c r="A51" s="6" t="s">
        <v>99</v>
      </c>
      <c r="B51" s="3"/>
      <c r="C51" s="3"/>
      <c r="D51" s="3"/>
      <c r="E51" s="3"/>
      <c r="F51" s="3"/>
      <c r="G51" s="3"/>
      <c r="H51" s="3"/>
      <c r="I51" s="3"/>
      <c r="J51" s="3">
        <v>11000</v>
      </c>
      <c r="K51" s="3"/>
      <c r="L51" s="3"/>
      <c r="M51" s="3"/>
      <c r="N51" s="5">
        <f t="shared" si="2"/>
        <v>11000</v>
      </c>
    </row>
    <row r="52" spans="1:15" x14ac:dyDescent="0.45">
      <c r="A52" s="4" t="s">
        <v>22</v>
      </c>
      <c r="B52" s="5">
        <f t="shared" ref="B52:N52" si="3">SUM(B34:B51)</f>
        <v>190747.85</v>
      </c>
      <c r="C52" s="5">
        <f t="shared" si="3"/>
        <v>73026.12999999999</v>
      </c>
      <c r="D52" s="5">
        <f t="shared" si="3"/>
        <v>58340.149999999994</v>
      </c>
      <c r="E52" s="5">
        <f t="shared" si="3"/>
        <v>56139.22</v>
      </c>
      <c r="F52" s="5">
        <f t="shared" si="3"/>
        <v>111705.92000000001</v>
      </c>
      <c r="G52" s="5">
        <f t="shared" si="3"/>
        <v>158253.83000000002</v>
      </c>
      <c r="H52" s="5">
        <f t="shared" si="3"/>
        <v>400900.85</v>
      </c>
      <c r="I52" s="5">
        <f t="shared" si="3"/>
        <v>433793.79000000004</v>
      </c>
      <c r="J52" s="5">
        <f t="shared" si="3"/>
        <v>258464.02000000002</v>
      </c>
      <c r="K52" s="5">
        <f t="shared" si="3"/>
        <v>138275.63999999998</v>
      </c>
      <c r="L52" s="5">
        <f t="shared" si="3"/>
        <v>96648.26999999999</v>
      </c>
      <c r="M52" s="5">
        <f t="shared" si="3"/>
        <v>256479.90000000002</v>
      </c>
      <c r="N52" s="5">
        <f t="shared" si="3"/>
        <v>2232775.5699999998</v>
      </c>
      <c r="O52" s="1"/>
    </row>
    <row r="53" spans="1:15" x14ac:dyDescent="0.45">
      <c r="A53" s="9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</row>
    <row r="54" spans="1:15" ht="29.25" customHeight="1" x14ac:dyDescent="0.45">
      <c r="A54" s="10" t="s">
        <v>34</v>
      </c>
      <c r="B54" s="11" t="s">
        <v>1</v>
      </c>
      <c r="C54" s="11" t="s">
        <v>2</v>
      </c>
      <c r="D54" s="11" t="s">
        <v>3</v>
      </c>
      <c r="E54" s="11" t="s">
        <v>4</v>
      </c>
      <c r="F54" s="11" t="s">
        <v>5</v>
      </c>
      <c r="G54" s="11" t="s">
        <v>6</v>
      </c>
      <c r="H54" s="11" t="s">
        <v>7</v>
      </c>
      <c r="I54" s="10" t="s">
        <v>8</v>
      </c>
      <c r="J54" s="11" t="s">
        <v>9</v>
      </c>
      <c r="K54" s="11" t="s">
        <v>10</v>
      </c>
      <c r="L54" s="11" t="s">
        <v>11</v>
      </c>
      <c r="M54" s="11" t="s">
        <v>12</v>
      </c>
      <c r="N54" s="11" t="s">
        <v>17</v>
      </c>
    </row>
    <row r="55" spans="1:15" x14ac:dyDescent="0.45">
      <c r="A55" s="6" t="s">
        <v>93</v>
      </c>
      <c r="B55" s="2"/>
      <c r="C55" s="2"/>
      <c r="D55" s="2"/>
      <c r="E55" s="2"/>
      <c r="F55" s="2"/>
      <c r="G55" s="2"/>
      <c r="H55" s="2"/>
      <c r="I55" s="2"/>
      <c r="J55" s="3"/>
      <c r="K55" s="3"/>
      <c r="L55" s="3"/>
      <c r="M55" s="3">
        <v>12113.47</v>
      </c>
      <c r="N55" s="31">
        <f>N30-N52</f>
        <v>76150.490000000224</v>
      </c>
    </row>
    <row r="56" spans="1:15" x14ac:dyDescent="0.45">
      <c r="A56" s="6" t="s">
        <v>94</v>
      </c>
      <c r="B56" s="2"/>
      <c r="C56" s="2"/>
      <c r="D56" s="2"/>
      <c r="E56" s="2"/>
      <c r="F56" s="2"/>
      <c r="G56" s="2"/>
      <c r="H56" s="2"/>
      <c r="I56" s="2"/>
      <c r="J56" s="3"/>
      <c r="K56" s="3"/>
      <c r="L56" s="3"/>
      <c r="M56" s="3">
        <v>64037.02</v>
      </c>
      <c r="N56" s="32"/>
    </row>
    <row r="57" spans="1:15" x14ac:dyDescent="0.45">
      <c r="A57" s="6" t="s">
        <v>80</v>
      </c>
      <c r="B57" s="2">
        <v>15000</v>
      </c>
      <c r="C57" s="2"/>
      <c r="D57" s="2"/>
      <c r="E57" s="2"/>
      <c r="F57" s="2">
        <v>120000</v>
      </c>
      <c r="G57" s="2">
        <v>80000</v>
      </c>
      <c r="H57" s="2">
        <v>162000</v>
      </c>
      <c r="I57" s="2">
        <v>267500</v>
      </c>
      <c r="J57" s="2"/>
      <c r="K57" s="2"/>
      <c r="L57" s="2"/>
      <c r="M57" s="3"/>
      <c r="N57" s="5">
        <f>SUM(B57:M57)</f>
        <v>644500</v>
      </c>
    </row>
    <row r="58" spans="1:15" x14ac:dyDescent="0.45">
      <c r="A58" s="6" t="s">
        <v>35</v>
      </c>
      <c r="B58" s="3">
        <v>21382.16</v>
      </c>
      <c r="C58" s="3">
        <v>13168.95</v>
      </c>
      <c r="D58" s="3">
        <v>15368.02</v>
      </c>
      <c r="E58" s="3">
        <v>23111.82</v>
      </c>
      <c r="F58" s="3">
        <v>95756.63</v>
      </c>
      <c r="G58" s="3">
        <v>131275.07999999999</v>
      </c>
      <c r="H58" s="3">
        <v>96487.83</v>
      </c>
      <c r="I58" s="3">
        <v>110070.32</v>
      </c>
      <c r="J58" s="3">
        <v>88178.04</v>
      </c>
      <c r="K58" s="3">
        <v>67142.67</v>
      </c>
      <c r="L58" s="3">
        <v>31407.599999999999</v>
      </c>
      <c r="M58" s="3">
        <v>12176.8</v>
      </c>
      <c r="N58" s="5">
        <f>SUM(B58:M58)</f>
        <v>705525.92000000016</v>
      </c>
    </row>
    <row r="59" spans="1:15" ht="28.5" x14ac:dyDescent="0.45">
      <c r="A59" s="27" t="s">
        <v>112</v>
      </c>
      <c r="B59" s="3">
        <f>B58-C22-C23-C29</f>
        <v>12589.66</v>
      </c>
      <c r="C59" s="3">
        <f t="shared" ref="C59:L59" si="4">C58-D22-D23-D29</f>
        <v>8552.2900000000009</v>
      </c>
      <c r="D59" s="3">
        <f t="shared" si="4"/>
        <v>10456.800000000001</v>
      </c>
      <c r="E59" s="3">
        <f t="shared" si="4"/>
        <v>-26451.110000000004</v>
      </c>
      <c r="F59" s="3">
        <f t="shared" si="4"/>
        <v>12619.450000000012</v>
      </c>
      <c r="G59" s="3">
        <f t="shared" si="4"/>
        <v>57358.319999999992</v>
      </c>
      <c r="H59" s="3">
        <f t="shared" si="4"/>
        <v>11001.120000000004</v>
      </c>
      <c r="I59" s="3">
        <f t="shared" si="4"/>
        <v>51350.640000000007</v>
      </c>
      <c r="J59" s="3">
        <f t="shared" si="4"/>
        <v>43135.069999999992</v>
      </c>
      <c r="K59" s="3">
        <f t="shared" si="4"/>
        <v>19568.349999999999</v>
      </c>
      <c r="L59" s="3">
        <f t="shared" si="4"/>
        <v>-7165.1000000000022</v>
      </c>
      <c r="M59" s="3">
        <f>M58-'2018'!B25-'2018'!B26</f>
        <v>-327.2400000000016</v>
      </c>
      <c r="N59" s="5">
        <f>SUM(B59:M59)</f>
        <v>192688.25</v>
      </c>
      <c r="O59" s="1"/>
    </row>
    <row r="60" spans="1:15" x14ac:dyDescent="0.45">
      <c r="A60" s="15" t="s">
        <v>76</v>
      </c>
      <c r="B60" s="24">
        <f>B61+B62+B63</f>
        <v>20000</v>
      </c>
      <c r="C60" s="24">
        <f t="shared" ref="C60:M60" si="5">C61+C62+C63</f>
        <v>32000</v>
      </c>
      <c r="D60" s="24">
        <f t="shared" si="5"/>
        <v>20000</v>
      </c>
      <c r="E60" s="24">
        <f t="shared" si="5"/>
        <v>20000</v>
      </c>
      <c r="F60" s="24">
        <f t="shared" si="5"/>
        <v>56000</v>
      </c>
      <c r="G60" s="24"/>
      <c r="H60" s="24">
        <f t="shared" si="5"/>
        <v>36000</v>
      </c>
      <c r="I60" s="24">
        <f t="shared" si="5"/>
        <v>20000</v>
      </c>
      <c r="J60" s="24">
        <f t="shared" si="5"/>
        <v>94200</v>
      </c>
      <c r="K60" s="24">
        <f t="shared" si="5"/>
        <v>20000</v>
      </c>
      <c r="L60" s="24">
        <f t="shared" si="5"/>
        <v>0</v>
      </c>
      <c r="M60" s="24">
        <f t="shared" si="5"/>
        <v>57000</v>
      </c>
      <c r="N60" s="5">
        <f>SUM(B60:M60)</f>
        <v>375200</v>
      </c>
    </row>
    <row r="61" spans="1:15" x14ac:dyDescent="0.45">
      <c r="A61" s="6" t="s">
        <v>77</v>
      </c>
      <c r="B61" s="3"/>
      <c r="C61" s="3"/>
      <c r="D61" s="3"/>
      <c r="E61" s="3"/>
      <c r="F61" s="3"/>
      <c r="G61" s="3"/>
      <c r="H61" s="3"/>
      <c r="I61" s="3"/>
      <c r="J61" s="3">
        <v>72000</v>
      </c>
      <c r="K61" s="3"/>
      <c r="L61" s="3"/>
      <c r="M61" s="28">
        <v>6000</v>
      </c>
      <c r="N61" s="26">
        <f>SUM(B61:M61)</f>
        <v>78000</v>
      </c>
    </row>
    <row r="62" spans="1:15" x14ac:dyDescent="0.45">
      <c r="A62" s="6" t="s">
        <v>78</v>
      </c>
      <c r="B62" s="3"/>
      <c r="C62" s="3">
        <v>12000</v>
      </c>
      <c r="D62" s="3"/>
      <c r="E62" s="3"/>
      <c r="F62" s="3">
        <v>36000</v>
      </c>
      <c r="G62" s="3"/>
      <c r="H62" s="3">
        <v>6000</v>
      </c>
      <c r="I62" s="3"/>
      <c r="J62" s="3">
        <v>12000</v>
      </c>
      <c r="K62" s="3"/>
      <c r="L62" s="3"/>
      <c r="M62" s="24">
        <v>6000</v>
      </c>
      <c r="N62" s="26">
        <f t="shared" ref="N62:N63" si="6">SUM(B62:M62)</f>
        <v>72000</v>
      </c>
    </row>
    <row r="63" spans="1:15" x14ac:dyDescent="0.45">
      <c r="A63" s="6" t="s">
        <v>79</v>
      </c>
      <c r="B63" s="3">
        <v>20000</v>
      </c>
      <c r="C63" s="3">
        <v>20000</v>
      </c>
      <c r="D63" s="3">
        <v>20000</v>
      </c>
      <c r="E63" s="3">
        <v>20000</v>
      </c>
      <c r="F63" s="3">
        <v>20000</v>
      </c>
      <c r="G63" s="3"/>
      <c r="H63" s="3">
        <v>30000</v>
      </c>
      <c r="I63" s="3">
        <v>20000</v>
      </c>
      <c r="J63" s="3">
        <v>10200</v>
      </c>
      <c r="K63" s="3">
        <v>20000</v>
      </c>
      <c r="L63" s="3"/>
      <c r="M63" s="24">
        <v>45000</v>
      </c>
      <c r="N63" s="26">
        <f t="shared" si="6"/>
        <v>225200</v>
      </c>
    </row>
    <row r="64" spans="1:15" x14ac:dyDescent="0.45">
      <c r="L64" s="33"/>
      <c r="M64" s="33"/>
      <c r="N64" s="8"/>
    </row>
  </sheetData>
  <mergeCells count="3">
    <mergeCell ref="A1:N1"/>
    <mergeCell ref="N55:N56"/>
    <mergeCell ref="L64:M64"/>
  </mergeCells>
  <pageMargins left="0.31496062992125984" right="0.31496062992125984" top="0.35433070866141736" bottom="0.35433070866141736" header="0.11811023622047245" footer="0.11811023622047245"/>
  <pageSetup paperSize="9" scale="65" orientation="landscape" r:id="rId1"/>
  <rowBreaks count="1" manualBreakCount="1">
    <brk id="31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68"/>
  <sheetViews>
    <sheetView tabSelected="1" zoomScale="70" zoomScaleNormal="70" workbookViewId="0">
      <selection activeCell="A2" sqref="A2"/>
    </sheetView>
  </sheetViews>
  <sheetFormatPr defaultRowHeight="14.25" outlineLevelCol="1" x14ac:dyDescent="0.45"/>
  <cols>
    <col min="1" max="1" width="38.59765625" customWidth="1"/>
    <col min="2" max="2" width="13.265625" customWidth="1" outlineLevel="1"/>
    <col min="3" max="3" width="11.59765625" customWidth="1" outlineLevel="1"/>
    <col min="4" max="4" width="12.59765625" customWidth="1" outlineLevel="1"/>
    <col min="5" max="5" width="11.3984375" customWidth="1" outlineLevel="1"/>
    <col min="6" max="6" width="13.1328125" customWidth="1" outlineLevel="1"/>
    <col min="7" max="7" width="12" customWidth="1" outlineLevel="1"/>
    <col min="8" max="8" width="12.86328125" customWidth="1" outlineLevel="1"/>
    <col min="9" max="10" width="12.59765625" customWidth="1" outlineLevel="1"/>
    <col min="11" max="11" width="13.73046875" customWidth="1" outlineLevel="1"/>
    <col min="12" max="12" width="12.73046875" customWidth="1" outlineLevel="1"/>
    <col min="13" max="13" width="13.265625" customWidth="1" outlineLevel="1"/>
    <col min="14" max="14" width="14.3984375" customWidth="1"/>
    <col min="15" max="15" width="10.73046875" bestFit="1" customWidth="1"/>
  </cols>
  <sheetData>
    <row r="1" spans="1:14" ht="23.25" x14ac:dyDescent="0.7">
      <c r="A1" s="29" t="s">
        <v>131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</row>
    <row r="2" spans="1:14" ht="21" x14ac:dyDescent="0.65">
      <c r="A2" s="13" t="s">
        <v>0</v>
      </c>
    </row>
    <row r="3" spans="1:14" x14ac:dyDescent="0.45">
      <c r="A3" s="12" t="s">
        <v>25</v>
      </c>
      <c r="B3" s="12" t="s">
        <v>1</v>
      </c>
      <c r="C3" s="12" t="s">
        <v>2</v>
      </c>
      <c r="D3" s="12" t="s">
        <v>3</v>
      </c>
      <c r="E3" s="12" t="s">
        <v>4</v>
      </c>
      <c r="F3" s="12" t="s">
        <v>5</v>
      </c>
      <c r="G3" s="12" t="s">
        <v>6</v>
      </c>
      <c r="H3" s="12" t="s">
        <v>7</v>
      </c>
      <c r="I3" s="12" t="s">
        <v>8</v>
      </c>
      <c r="J3" s="12" t="s">
        <v>9</v>
      </c>
      <c r="K3" s="12" t="s">
        <v>10</v>
      </c>
      <c r="L3" s="12" t="s">
        <v>11</v>
      </c>
      <c r="M3" s="12" t="s">
        <v>12</v>
      </c>
      <c r="N3" s="12" t="s">
        <v>17</v>
      </c>
    </row>
    <row r="4" spans="1:14" ht="15" customHeight="1" x14ac:dyDescent="0.45">
      <c r="A4" s="6" t="s">
        <v>102</v>
      </c>
      <c r="B4" s="3">
        <v>12113.47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5">
        <f>B4</f>
        <v>12113.47</v>
      </c>
    </row>
    <row r="5" spans="1:14" ht="15" customHeight="1" x14ac:dyDescent="0.45">
      <c r="A5" s="6" t="s">
        <v>103</v>
      </c>
      <c r="B5" s="3">
        <v>64037.02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5">
        <f>B5</f>
        <v>64037.02</v>
      </c>
    </row>
    <row r="6" spans="1:14" x14ac:dyDescent="0.45">
      <c r="A6" s="22" t="s">
        <v>60</v>
      </c>
      <c r="B6" s="7"/>
      <c r="C6" s="7"/>
      <c r="D6" s="7"/>
      <c r="E6" s="7"/>
      <c r="F6" s="7"/>
      <c r="G6" s="7">
        <v>540</v>
      </c>
      <c r="H6" s="7"/>
      <c r="I6" s="7"/>
      <c r="J6" s="7"/>
      <c r="K6" s="7"/>
      <c r="L6" s="7"/>
      <c r="M6" s="7"/>
      <c r="N6" s="23">
        <f t="shared" ref="N6:N30" si="0">SUM(B6:M6)</f>
        <v>540</v>
      </c>
    </row>
    <row r="7" spans="1:14" x14ac:dyDescent="0.45">
      <c r="A7" s="22" t="s">
        <v>61</v>
      </c>
      <c r="B7" s="7"/>
      <c r="C7" s="7"/>
      <c r="D7" s="7"/>
      <c r="E7" s="7"/>
      <c r="F7" s="7"/>
      <c r="G7" s="7"/>
      <c r="H7" s="7"/>
      <c r="I7" s="7"/>
      <c r="J7" s="7"/>
      <c r="K7" s="7"/>
      <c r="L7" s="7">
        <v>612</v>
      </c>
      <c r="M7" s="7">
        <v>6702</v>
      </c>
      <c r="N7" s="23">
        <f t="shared" si="0"/>
        <v>7314</v>
      </c>
    </row>
    <row r="8" spans="1:14" x14ac:dyDescent="0.45">
      <c r="A8" s="22" t="s">
        <v>62</v>
      </c>
      <c r="B8" s="7"/>
      <c r="C8" s="7"/>
      <c r="D8" s="7"/>
      <c r="E8" s="7"/>
      <c r="F8" s="7"/>
      <c r="G8" s="7">
        <v>17.829999999999998</v>
      </c>
      <c r="H8" s="7">
        <v>3408</v>
      </c>
      <c r="I8" s="7"/>
      <c r="J8" s="7"/>
      <c r="K8" s="7"/>
      <c r="L8" s="7"/>
      <c r="M8" s="7"/>
      <c r="N8" s="23">
        <f t="shared" si="0"/>
        <v>3425.83</v>
      </c>
    </row>
    <row r="9" spans="1:14" x14ac:dyDescent="0.45">
      <c r="A9" s="22" t="s">
        <v>63</v>
      </c>
      <c r="B9" s="7"/>
      <c r="C9" s="7">
        <v>3456</v>
      </c>
      <c r="D9" s="7"/>
      <c r="E9" s="7"/>
      <c r="F9" s="7"/>
      <c r="G9" s="7"/>
      <c r="H9" s="7"/>
      <c r="I9" s="7">
        <v>4104</v>
      </c>
      <c r="J9" s="7"/>
      <c r="K9" s="7">
        <v>3456</v>
      </c>
      <c r="L9" s="7">
        <v>3475.2</v>
      </c>
      <c r="M9" s="7">
        <v>25296.720000000001</v>
      </c>
      <c r="N9" s="23">
        <f t="shared" si="0"/>
        <v>39787.919999999998</v>
      </c>
    </row>
    <row r="10" spans="1:14" x14ac:dyDescent="0.45">
      <c r="A10" s="22" t="s">
        <v>64</v>
      </c>
      <c r="B10" s="7">
        <v>3403.2</v>
      </c>
      <c r="C10" s="7">
        <v>1728</v>
      </c>
      <c r="D10" s="7"/>
      <c r="E10" s="7">
        <v>2514.1</v>
      </c>
      <c r="F10" s="7">
        <v>14539.2</v>
      </c>
      <c r="G10" s="7">
        <v>11972.95</v>
      </c>
      <c r="H10" s="7">
        <v>7072.37</v>
      </c>
      <c r="I10" s="7">
        <v>4323.63</v>
      </c>
      <c r="J10" s="7"/>
      <c r="K10" s="7"/>
      <c r="L10" s="7"/>
      <c r="M10" s="7"/>
      <c r="N10" s="23">
        <f t="shared" si="0"/>
        <v>45553.45</v>
      </c>
    </row>
    <row r="11" spans="1:14" x14ac:dyDescent="0.45">
      <c r="A11" s="22" t="s">
        <v>65</v>
      </c>
      <c r="B11" s="7">
        <v>1736.8</v>
      </c>
      <c r="C11" s="7">
        <v>10833.5</v>
      </c>
      <c r="D11" s="7">
        <v>3456</v>
      </c>
      <c r="E11" s="7">
        <v>1456</v>
      </c>
      <c r="F11" s="7"/>
      <c r="G11" s="7">
        <v>8640</v>
      </c>
      <c r="H11" s="7">
        <v>5179.2</v>
      </c>
      <c r="I11" s="7">
        <v>3456</v>
      </c>
      <c r="J11" s="7">
        <v>60</v>
      </c>
      <c r="K11" s="7">
        <v>3456</v>
      </c>
      <c r="L11" s="7">
        <v>3360.1</v>
      </c>
      <c r="M11" s="7">
        <v>40785.599999999999</v>
      </c>
      <c r="N11" s="23">
        <f t="shared" si="0"/>
        <v>82419.199999999997</v>
      </c>
    </row>
    <row r="12" spans="1:14" x14ac:dyDescent="0.45">
      <c r="A12" s="22" t="s">
        <v>83</v>
      </c>
      <c r="B12" s="7">
        <v>2958.4</v>
      </c>
      <c r="C12" s="7">
        <v>10360.799999999999</v>
      </c>
      <c r="D12" s="7"/>
      <c r="E12" s="7">
        <v>18595.2</v>
      </c>
      <c r="F12" s="7">
        <v>110659.69</v>
      </c>
      <c r="G12" s="7">
        <v>89611.6</v>
      </c>
      <c r="H12" s="7">
        <v>50798.13</v>
      </c>
      <c r="I12" s="7">
        <v>33536.400000000001</v>
      </c>
      <c r="J12" s="7">
        <v>8889.6</v>
      </c>
      <c r="K12" s="7">
        <v>1728</v>
      </c>
      <c r="L12" s="7"/>
      <c r="M12" s="7"/>
      <c r="N12" s="23">
        <f t="shared" si="0"/>
        <v>327137.82</v>
      </c>
    </row>
    <row r="13" spans="1:14" x14ac:dyDescent="0.45">
      <c r="A13" s="22" t="s">
        <v>84</v>
      </c>
      <c r="B13" s="7">
        <v>20829.599999999999</v>
      </c>
      <c r="C13" s="7">
        <v>45357.599999999999</v>
      </c>
      <c r="D13" s="7">
        <v>65187</v>
      </c>
      <c r="E13" s="7">
        <v>28051.200000000001</v>
      </c>
      <c r="F13" s="7">
        <v>28838.400000000001</v>
      </c>
      <c r="G13" s="7">
        <v>53376</v>
      </c>
      <c r="H13" s="7">
        <v>37986.800000000003</v>
      </c>
      <c r="I13" s="7">
        <v>9729.6</v>
      </c>
      <c r="J13" s="7">
        <v>15566</v>
      </c>
      <c r="K13" s="7">
        <v>25708.799999999999</v>
      </c>
      <c r="L13" s="7">
        <v>28957.200000000001</v>
      </c>
      <c r="M13" s="7">
        <f>38430.4-1000-64.8</f>
        <v>37365.599999999999</v>
      </c>
      <c r="N13" s="23">
        <f t="shared" si="0"/>
        <v>396953.8</v>
      </c>
    </row>
    <row r="14" spans="1:14" x14ac:dyDescent="0.45">
      <c r="A14" s="22" t="s">
        <v>85</v>
      </c>
      <c r="B14" s="7"/>
      <c r="C14" s="7"/>
      <c r="D14" s="7"/>
      <c r="E14" s="7"/>
      <c r="F14" s="7"/>
      <c r="G14" s="7"/>
      <c r="H14" s="7"/>
      <c r="I14" s="7">
        <v>1944</v>
      </c>
      <c r="J14" s="7">
        <v>22400</v>
      </c>
      <c r="K14" s="7"/>
      <c r="L14" s="7">
        <v>4052</v>
      </c>
      <c r="M14" s="7">
        <f>53675-1000</f>
        <v>52675</v>
      </c>
      <c r="N14" s="23">
        <f t="shared" si="0"/>
        <v>81071</v>
      </c>
    </row>
    <row r="15" spans="1:14" x14ac:dyDescent="0.45">
      <c r="A15" s="22" t="s">
        <v>104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>
        <v>0.1</v>
      </c>
      <c r="M15" s="7">
        <v>5585.02</v>
      </c>
      <c r="N15" s="23">
        <f t="shared" si="0"/>
        <v>5585.1200000000008</v>
      </c>
    </row>
    <row r="16" spans="1:14" x14ac:dyDescent="0.45">
      <c r="A16" s="22" t="s">
        <v>58</v>
      </c>
      <c r="B16" s="7"/>
      <c r="C16" s="7">
        <v>1392</v>
      </c>
      <c r="D16" s="7"/>
      <c r="E16" s="7">
        <v>2904</v>
      </c>
      <c r="F16" s="7">
        <v>1488</v>
      </c>
      <c r="G16" s="7">
        <v>11348</v>
      </c>
      <c r="H16" s="7">
        <v>8680</v>
      </c>
      <c r="I16" s="7"/>
      <c r="J16" s="7"/>
      <c r="K16" s="7"/>
      <c r="L16" s="7"/>
      <c r="M16" s="7"/>
      <c r="N16" s="23">
        <f t="shared" si="0"/>
        <v>25812</v>
      </c>
    </row>
    <row r="17" spans="1:16" x14ac:dyDescent="0.45">
      <c r="A17" s="22" t="s">
        <v>59</v>
      </c>
      <c r="B17" s="7"/>
      <c r="C17" s="7">
        <v>5760</v>
      </c>
      <c r="D17" s="7"/>
      <c r="E17" s="7"/>
      <c r="F17" s="7">
        <v>5760</v>
      </c>
      <c r="G17" s="7">
        <v>5760</v>
      </c>
      <c r="H17" s="7">
        <v>2876</v>
      </c>
      <c r="I17" s="7">
        <v>2880</v>
      </c>
      <c r="J17" s="7"/>
      <c r="K17" s="7"/>
      <c r="L17" s="7"/>
      <c r="M17" s="7">
        <v>27024</v>
      </c>
      <c r="N17" s="23">
        <f t="shared" si="0"/>
        <v>50060</v>
      </c>
    </row>
    <row r="18" spans="1:16" x14ac:dyDescent="0.45">
      <c r="A18" s="22" t="s">
        <v>86</v>
      </c>
      <c r="B18" s="7">
        <v>6096</v>
      </c>
      <c r="C18" s="7">
        <v>2880</v>
      </c>
      <c r="D18" s="7"/>
      <c r="E18" s="7">
        <v>555.35</v>
      </c>
      <c r="F18" s="7">
        <v>59840</v>
      </c>
      <c r="G18" s="7">
        <v>80396.710000000006</v>
      </c>
      <c r="H18" s="7">
        <v>11880</v>
      </c>
      <c r="I18" s="7">
        <v>31192</v>
      </c>
      <c r="J18" s="7">
        <v>8640</v>
      </c>
      <c r="K18" s="7"/>
      <c r="L18" s="7"/>
      <c r="M18" s="7"/>
      <c r="N18" s="23">
        <f t="shared" si="0"/>
        <v>201480.06</v>
      </c>
    </row>
    <row r="19" spans="1:16" x14ac:dyDescent="0.45">
      <c r="A19" s="22" t="s">
        <v>87</v>
      </c>
      <c r="B19" s="7">
        <v>8560</v>
      </c>
      <c r="C19" s="7">
        <v>18184</v>
      </c>
      <c r="D19" s="7">
        <v>6240</v>
      </c>
      <c r="E19" s="7">
        <v>8664</v>
      </c>
      <c r="F19" s="7">
        <v>18708</v>
      </c>
      <c r="G19" s="7">
        <v>41724</v>
      </c>
      <c r="H19" s="7">
        <v>15116</v>
      </c>
      <c r="I19" s="7">
        <v>2880</v>
      </c>
      <c r="J19" s="7">
        <v>2880</v>
      </c>
      <c r="K19" s="7">
        <v>7579.4</v>
      </c>
      <c r="L19" s="7">
        <v>6184</v>
      </c>
      <c r="M19" s="7">
        <v>75573.22</v>
      </c>
      <c r="N19" s="23">
        <f t="shared" si="0"/>
        <v>212292.62</v>
      </c>
    </row>
    <row r="20" spans="1:16" x14ac:dyDescent="0.45">
      <c r="A20" s="22" t="s">
        <v>88</v>
      </c>
      <c r="B20" s="7"/>
      <c r="C20" s="7"/>
      <c r="D20" s="7"/>
      <c r="E20" s="7"/>
      <c r="F20" s="7">
        <v>1000</v>
      </c>
      <c r="G20" s="7">
        <v>7000</v>
      </c>
      <c r="H20" s="7">
        <v>2000</v>
      </c>
      <c r="I20" s="7">
        <v>6000</v>
      </c>
      <c r="J20" s="7">
        <v>8000</v>
      </c>
      <c r="K20" s="7"/>
      <c r="L20" s="7"/>
      <c r="M20" s="7">
        <v>1000</v>
      </c>
      <c r="N20" s="23">
        <f t="shared" si="0"/>
        <v>25000</v>
      </c>
    </row>
    <row r="21" spans="1:16" x14ac:dyDescent="0.45">
      <c r="A21" s="22" t="s">
        <v>91</v>
      </c>
      <c r="B21" s="7"/>
      <c r="C21" s="7">
        <v>9.6</v>
      </c>
      <c r="D21" s="7"/>
      <c r="E21" s="7"/>
      <c r="F21" s="7"/>
      <c r="G21" s="7">
        <v>4000</v>
      </c>
      <c r="H21" s="7"/>
      <c r="I21" s="7">
        <v>1000</v>
      </c>
      <c r="J21" s="7">
        <v>1000</v>
      </c>
      <c r="K21" s="7">
        <v>4990.3999999999996</v>
      </c>
      <c r="L21" s="7">
        <v>3000</v>
      </c>
      <c r="M21" s="7">
        <v>16000</v>
      </c>
      <c r="N21" s="23">
        <f t="shared" si="0"/>
        <v>30000</v>
      </c>
    </row>
    <row r="22" spans="1:16" x14ac:dyDescent="0.45">
      <c r="A22" s="22" t="s">
        <v>105</v>
      </c>
      <c r="B22" s="7"/>
      <c r="C22" s="7"/>
      <c r="D22" s="7"/>
      <c r="E22" s="7"/>
      <c r="F22" s="7"/>
      <c r="G22" s="7">
        <v>42978</v>
      </c>
      <c r="H22" s="7">
        <v>46150</v>
      </c>
      <c r="I22" s="7">
        <v>121877.5</v>
      </c>
      <c r="J22" s="7">
        <f>24372.5-3000</f>
        <v>21372.5</v>
      </c>
      <c r="K22" s="7">
        <v>14075</v>
      </c>
      <c r="L22" s="7"/>
      <c r="M22" s="7">
        <v>1000</v>
      </c>
      <c r="N22" s="23">
        <f t="shared" si="0"/>
        <v>247453</v>
      </c>
    </row>
    <row r="23" spans="1:16" x14ac:dyDescent="0.45">
      <c r="A23" s="22" t="s">
        <v>106</v>
      </c>
      <c r="B23" s="7"/>
      <c r="C23" s="7"/>
      <c r="D23" s="7"/>
      <c r="E23" s="7"/>
      <c r="F23" s="7"/>
      <c r="G23" s="7">
        <v>20267.5</v>
      </c>
      <c r="H23" s="7">
        <v>14495</v>
      </c>
      <c r="I23" s="7">
        <v>43120</v>
      </c>
      <c r="J23" s="7">
        <v>18455.88</v>
      </c>
      <c r="K23" s="7">
        <v>38207.5</v>
      </c>
      <c r="L23" s="7">
        <v>110200</v>
      </c>
      <c r="M23" s="7">
        <f>68720-67.48</f>
        <v>68652.52</v>
      </c>
      <c r="N23" s="23">
        <f t="shared" si="0"/>
        <v>313398.40000000002</v>
      </c>
    </row>
    <row r="24" spans="1:16" x14ac:dyDescent="0.45">
      <c r="A24" s="4" t="s">
        <v>19</v>
      </c>
      <c r="B24" s="7"/>
      <c r="C24" s="7"/>
      <c r="D24" s="7"/>
      <c r="E24" s="7"/>
      <c r="F24" s="7"/>
      <c r="G24" s="7"/>
      <c r="H24" s="7">
        <v>250</v>
      </c>
      <c r="I24" s="7"/>
      <c r="J24" s="7"/>
      <c r="K24" s="7"/>
      <c r="L24" s="7"/>
      <c r="M24" s="7"/>
      <c r="N24" s="23">
        <f t="shared" si="0"/>
        <v>250</v>
      </c>
    </row>
    <row r="25" spans="1:16" x14ac:dyDescent="0.45">
      <c r="A25" s="22" t="s">
        <v>66</v>
      </c>
      <c r="B25" s="7">
        <f>2065.61</f>
        <v>2065.61</v>
      </c>
      <c r="C25" s="7">
        <v>4950</v>
      </c>
      <c r="D25" s="7"/>
      <c r="E25" s="7">
        <v>541.75</v>
      </c>
      <c r="F25" s="7">
        <f>36595.34+2761.44</f>
        <v>39356.78</v>
      </c>
      <c r="G25" s="7">
        <f>34507.4+7517.28-G30</f>
        <v>37055.24</v>
      </c>
      <c r="H25" s="7">
        <f>23247.86-H30</f>
        <v>20163.38</v>
      </c>
      <c r="I25" s="7">
        <f>71500.74+3819.38-I30</f>
        <v>72929.040000000008</v>
      </c>
      <c r="J25" s="7">
        <f>33908.54+6326.84-J30-1920</f>
        <v>34067.51</v>
      </c>
      <c r="K25" s="7">
        <f>1197</f>
        <v>1197</v>
      </c>
      <c r="L25" s="7">
        <f>6000</f>
        <v>6000</v>
      </c>
      <c r="M25" s="7">
        <f>15473.03</f>
        <v>15473.03</v>
      </c>
      <c r="N25" s="23">
        <f t="shared" si="0"/>
        <v>233799.34000000003</v>
      </c>
    </row>
    <row r="26" spans="1:16" x14ac:dyDescent="0.45">
      <c r="A26" s="22" t="s">
        <v>67</v>
      </c>
      <c r="B26" s="7">
        <f>9791.51+646.92</f>
        <v>10438.43</v>
      </c>
      <c r="C26" s="7">
        <f>8927.33</f>
        <v>8927.33</v>
      </c>
      <c r="D26" s="7">
        <f>14833.14</f>
        <v>14833.14</v>
      </c>
      <c r="E26" s="7">
        <f>9369.9</f>
        <v>9369.9</v>
      </c>
      <c r="F26" s="7">
        <f>24599.25</f>
        <v>24599.25</v>
      </c>
      <c r="G26" s="7">
        <f>36206.68+295.9</f>
        <v>36502.58</v>
      </c>
      <c r="H26" s="7">
        <f>33431.86</f>
        <v>33431.86</v>
      </c>
      <c r="I26" s="7">
        <f>38743.63+460.23</f>
        <v>39203.86</v>
      </c>
      <c r="J26" s="7">
        <v>36263.730000000003</v>
      </c>
      <c r="K26" s="7">
        <v>40910.29</v>
      </c>
      <c r="L26" s="7">
        <v>56092.1</v>
      </c>
      <c r="M26" s="7">
        <f>31300.56+132.28</f>
        <v>31432.84</v>
      </c>
      <c r="N26" s="23">
        <f t="shared" si="0"/>
        <v>342005.31</v>
      </c>
    </row>
    <row r="27" spans="1:16" x14ac:dyDescent="0.45">
      <c r="A27" s="22" t="s">
        <v>56</v>
      </c>
      <c r="B27" s="7">
        <v>10000</v>
      </c>
      <c r="C27" s="7"/>
      <c r="D27" s="7"/>
      <c r="E27" s="7"/>
      <c r="F27" s="7"/>
      <c r="G27" s="7">
        <v>15800</v>
      </c>
      <c r="H27" s="7"/>
      <c r="I27" s="7">
        <v>28300</v>
      </c>
      <c r="J27" s="7"/>
      <c r="K27" s="7"/>
      <c r="L27" s="7"/>
      <c r="M27" s="7"/>
      <c r="N27" s="23">
        <f t="shared" si="0"/>
        <v>54100</v>
      </c>
    </row>
    <row r="28" spans="1:16" x14ac:dyDescent="0.45">
      <c r="A28" s="22" t="s">
        <v>57</v>
      </c>
      <c r="B28" s="7">
        <v>8500</v>
      </c>
      <c r="C28" s="7"/>
      <c r="D28" s="7"/>
      <c r="E28" s="7"/>
      <c r="F28" s="7">
        <v>29695</v>
      </c>
      <c r="G28" s="7">
        <v>11300</v>
      </c>
      <c r="H28" s="7">
        <v>17000</v>
      </c>
      <c r="I28" s="7"/>
      <c r="J28" s="7">
        <v>22600</v>
      </c>
      <c r="K28" s="7"/>
      <c r="L28" s="7"/>
      <c r="M28" s="7"/>
      <c r="N28" s="23">
        <f t="shared" si="0"/>
        <v>89095</v>
      </c>
    </row>
    <row r="29" spans="1:16" x14ac:dyDescent="0.45">
      <c r="A29" s="6" t="s">
        <v>39</v>
      </c>
      <c r="B29" s="7"/>
      <c r="C29" s="7"/>
      <c r="D29" s="7"/>
      <c r="E29" s="7"/>
      <c r="F29" s="7"/>
      <c r="G29" s="7">
        <v>554.75</v>
      </c>
      <c r="H29" s="7"/>
      <c r="I29" s="7"/>
      <c r="J29" s="7">
        <v>2250</v>
      </c>
      <c r="K29" s="7"/>
      <c r="L29" s="7"/>
      <c r="M29" s="7"/>
      <c r="N29" s="23">
        <f t="shared" si="0"/>
        <v>2804.75</v>
      </c>
    </row>
    <row r="30" spans="1:16" x14ac:dyDescent="0.45">
      <c r="A30" s="6" t="s">
        <v>40</v>
      </c>
      <c r="B30" s="7"/>
      <c r="C30" s="7"/>
      <c r="D30" s="7"/>
      <c r="E30" s="7"/>
      <c r="F30" s="7"/>
      <c r="G30" s="7">
        <v>4969.4399999999996</v>
      </c>
      <c r="H30" s="7">
        <v>3084.48</v>
      </c>
      <c r="I30" s="7">
        <v>2391.08</v>
      </c>
      <c r="J30" s="7">
        <v>4247.87</v>
      </c>
      <c r="K30" s="7"/>
      <c r="L30" s="7"/>
      <c r="M30" s="7"/>
      <c r="N30" s="23">
        <f t="shared" si="0"/>
        <v>14692.869999999999</v>
      </c>
    </row>
    <row r="31" spans="1:16" x14ac:dyDescent="0.45">
      <c r="A31" s="4" t="s">
        <v>22</v>
      </c>
      <c r="B31" s="5">
        <f t="shared" ref="B31:M31" si="1">SUM(B6:B30)</f>
        <v>74588.040000000008</v>
      </c>
      <c r="C31" s="5">
        <f t="shared" si="1"/>
        <v>113838.83</v>
      </c>
      <c r="D31" s="5">
        <f t="shared" si="1"/>
        <v>89716.14</v>
      </c>
      <c r="E31" s="5">
        <f t="shared" si="1"/>
        <v>72651.5</v>
      </c>
      <c r="F31" s="5">
        <f t="shared" si="1"/>
        <v>334484.32</v>
      </c>
      <c r="G31" s="5">
        <f t="shared" si="1"/>
        <v>483814.60000000003</v>
      </c>
      <c r="H31" s="5">
        <f t="shared" si="1"/>
        <v>279571.21999999997</v>
      </c>
      <c r="I31" s="5">
        <f t="shared" si="1"/>
        <v>408867.11000000004</v>
      </c>
      <c r="J31" s="5">
        <f t="shared" si="1"/>
        <v>206693.09000000003</v>
      </c>
      <c r="K31" s="5">
        <f t="shared" si="1"/>
        <v>141308.39000000001</v>
      </c>
      <c r="L31" s="5">
        <f t="shared" si="1"/>
        <v>221932.7</v>
      </c>
      <c r="M31" s="5">
        <f t="shared" si="1"/>
        <v>404565.5500000001</v>
      </c>
      <c r="N31" s="23">
        <f>SUM(N4:N30)</f>
        <v>2908181.98</v>
      </c>
      <c r="O31" s="1"/>
      <c r="P31" s="1"/>
    </row>
    <row r="32" spans="1:16" x14ac:dyDescent="0.45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4" ht="21" x14ac:dyDescent="0.65">
      <c r="A33" s="14" t="s">
        <v>26</v>
      </c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4" x14ac:dyDescent="0.45">
      <c r="A34" s="12" t="s">
        <v>25</v>
      </c>
      <c r="B34" s="12" t="s">
        <v>1</v>
      </c>
      <c r="C34" s="12" t="s">
        <v>2</v>
      </c>
      <c r="D34" s="12" t="s">
        <v>3</v>
      </c>
      <c r="E34" s="12" t="s">
        <v>4</v>
      </c>
      <c r="F34" s="12" t="s">
        <v>5</v>
      </c>
      <c r="G34" s="12" t="s">
        <v>6</v>
      </c>
      <c r="H34" s="12" t="s">
        <v>7</v>
      </c>
      <c r="I34" s="12" t="s">
        <v>8</v>
      </c>
      <c r="J34" s="12" t="s">
        <v>9</v>
      </c>
      <c r="K34" s="12" t="s">
        <v>10</v>
      </c>
      <c r="L34" s="12" t="s">
        <v>11</v>
      </c>
      <c r="M34" s="12" t="s">
        <v>12</v>
      </c>
      <c r="N34" s="12" t="s">
        <v>17</v>
      </c>
    </row>
    <row r="35" spans="1:14" x14ac:dyDescent="0.45">
      <c r="A35" s="6" t="s">
        <v>27</v>
      </c>
      <c r="B35" s="3">
        <v>15000</v>
      </c>
      <c r="C35" s="3">
        <v>8000</v>
      </c>
      <c r="D35" s="3">
        <v>12000</v>
      </c>
      <c r="E35" s="3">
        <v>20000</v>
      </c>
      <c r="F35" s="3">
        <v>25000</v>
      </c>
      <c r="G35" s="3">
        <v>38000</v>
      </c>
      <c r="H35" s="3">
        <v>80000</v>
      </c>
      <c r="I35" s="3">
        <v>26000</v>
      </c>
      <c r="J35" s="3">
        <v>36000</v>
      </c>
      <c r="K35" s="3">
        <v>16000</v>
      </c>
      <c r="L35" s="3">
        <v>32000</v>
      </c>
      <c r="M35" s="3">
        <v>260309</v>
      </c>
      <c r="N35" s="5">
        <f>SUM(B35:M35)</f>
        <v>568309</v>
      </c>
    </row>
    <row r="36" spans="1:14" x14ac:dyDescent="0.45">
      <c r="A36" s="6" t="s">
        <v>71</v>
      </c>
      <c r="B36" s="3">
        <f>5970.67</f>
        <v>5970.67</v>
      </c>
      <c r="C36" s="3">
        <f>10616.02+4036</f>
        <v>14652.02</v>
      </c>
      <c r="D36" s="3">
        <f>10554.28+4035</f>
        <v>14589.28</v>
      </c>
      <c r="E36" s="3">
        <f>10553.94+4035</f>
        <v>14588.94</v>
      </c>
      <c r="F36" s="3">
        <f>5626.38+4035</f>
        <v>9661.380000000001</v>
      </c>
      <c r="G36" s="3">
        <f>12588.63+4784</f>
        <v>17372.629999999997</v>
      </c>
      <c r="H36" s="3">
        <f>12585.6+4784</f>
        <v>17369.599999999999</v>
      </c>
      <c r="I36" s="3">
        <f>12585.6+4784</f>
        <v>17369.599999999999</v>
      </c>
      <c r="J36" s="3">
        <f>12592.28+4784</f>
        <v>17376.28</v>
      </c>
      <c r="K36" s="3">
        <f>4637.65+12585.6+4784</f>
        <v>22007.25</v>
      </c>
      <c r="L36" s="3">
        <f>12585.6+4784</f>
        <v>17369.599999999999</v>
      </c>
      <c r="M36" s="3">
        <f>12585.6+4784</f>
        <v>17369.599999999999</v>
      </c>
      <c r="N36" s="5">
        <f t="shared" ref="N36:N55" si="2">SUM(B36:M36)</f>
        <v>185696.85000000003</v>
      </c>
    </row>
    <row r="37" spans="1:14" x14ac:dyDescent="0.45">
      <c r="A37" s="6" t="s">
        <v>114</v>
      </c>
      <c r="B37" s="3"/>
      <c r="C37" s="3">
        <f>92753+224.78</f>
        <v>92977.78</v>
      </c>
      <c r="D37" s="3"/>
      <c r="E37" s="3"/>
      <c r="F37" s="3"/>
      <c r="G37" s="3"/>
      <c r="H37" s="3"/>
      <c r="I37" s="3"/>
      <c r="J37" s="3"/>
      <c r="K37" s="3"/>
      <c r="L37" s="3"/>
      <c r="M37" s="3"/>
      <c r="N37" s="5">
        <f t="shared" si="2"/>
        <v>92977.78</v>
      </c>
    </row>
    <row r="38" spans="1:14" x14ac:dyDescent="0.45">
      <c r="A38" s="6" t="s">
        <v>28</v>
      </c>
      <c r="B38" s="3">
        <v>12176.8</v>
      </c>
      <c r="C38" s="3">
        <v>25772.799999999999</v>
      </c>
      <c r="D38" s="3">
        <v>15176</v>
      </c>
      <c r="E38" s="3">
        <v>13365</v>
      </c>
      <c r="F38" s="3">
        <v>43738</v>
      </c>
      <c r="G38" s="3">
        <v>72732.600000000006</v>
      </c>
      <c r="H38" s="3">
        <v>93814.2</v>
      </c>
      <c r="I38" s="3">
        <v>98395</v>
      </c>
      <c r="J38" s="3">
        <v>95090.53</v>
      </c>
      <c r="K38" s="3">
        <v>75033.740000000005</v>
      </c>
      <c r="L38" s="3">
        <v>59568.4</v>
      </c>
      <c r="M38" s="3">
        <v>28260.52</v>
      </c>
      <c r="N38" s="5">
        <f t="shared" si="2"/>
        <v>633123.59000000008</v>
      </c>
    </row>
    <row r="39" spans="1:14" x14ac:dyDescent="0.45">
      <c r="A39" s="6" t="s">
        <v>113</v>
      </c>
      <c r="B39" s="3"/>
      <c r="C39" s="3"/>
      <c r="D39" s="3">
        <v>29917.09</v>
      </c>
      <c r="E39" s="3">
        <v>27606.71</v>
      </c>
      <c r="F39" s="3">
        <v>10000</v>
      </c>
      <c r="G39" s="3">
        <v>30000</v>
      </c>
      <c r="H39" s="3"/>
      <c r="I39" s="3">
        <v>28125</v>
      </c>
      <c r="J39" s="3">
        <f>23812.5-2943.92</f>
        <v>20868.580000000002</v>
      </c>
      <c r="K39" s="3"/>
      <c r="L39" s="3"/>
      <c r="M39" s="3">
        <v>33000</v>
      </c>
      <c r="N39" s="5">
        <f t="shared" si="2"/>
        <v>179517.38</v>
      </c>
    </row>
    <row r="40" spans="1:14" x14ac:dyDescent="0.45">
      <c r="A40" s="6" t="s">
        <v>115</v>
      </c>
      <c r="B40" s="3"/>
      <c r="C40" s="3"/>
      <c r="D40" s="3"/>
      <c r="E40" s="3"/>
      <c r="F40" s="3"/>
      <c r="G40" s="3"/>
      <c r="H40" s="3">
        <v>34000</v>
      </c>
      <c r="I40" s="3"/>
      <c r="J40" s="3"/>
      <c r="K40" s="3"/>
      <c r="L40" s="3"/>
      <c r="M40" s="3"/>
      <c r="N40" s="5">
        <f t="shared" si="2"/>
        <v>34000</v>
      </c>
    </row>
    <row r="41" spans="1:14" ht="28.5" x14ac:dyDescent="0.45">
      <c r="A41" s="6" t="s">
        <v>70</v>
      </c>
      <c r="B41" s="3">
        <v>1800</v>
      </c>
      <c r="C41" s="3">
        <v>1800</v>
      </c>
      <c r="D41" s="3">
        <v>1800</v>
      </c>
      <c r="E41" s="3">
        <v>1800</v>
      </c>
      <c r="F41" s="3">
        <v>1800</v>
      </c>
      <c r="G41" s="3">
        <v>1800</v>
      </c>
      <c r="H41" s="3">
        <v>1800</v>
      </c>
      <c r="I41" s="3">
        <v>1800</v>
      </c>
      <c r="J41" s="3">
        <v>1800</v>
      </c>
      <c r="K41" s="3">
        <v>1800</v>
      </c>
      <c r="L41" s="3">
        <v>1800</v>
      </c>
      <c r="M41" s="3">
        <v>3600</v>
      </c>
      <c r="N41" s="5">
        <f t="shared" si="2"/>
        <v>23400</v>
      </c>
    </row>
    <row r="42" spans="1:14" ht="28.5" x14ac:dyDescent="0.45">
      <c r="A42" s="6" t="s">
        <v>101</v>
      </c>
      <c r="B42" s="3"/>
      <c r="C42" s="3"/>
      <c r="D42" s="3">
        <v>36544</v>
      </c>
      <c r="E42" s="3"/>
      <c r="F42" s="3"/>
      <c r="G42" s="3"/>
      <c r="H42" s="3"/>
      <c r="I42" s="3">
        <v>39600</v>
      </c>
      <c r="J42" s="3"/>
      <c r="K42" s="3">
        <v>50900</v>
      </c>
      <c r="L42" s="3"/>
      <c r="M42" s="3"/>
      <c r="N42" s="5">
        <f t="shared" si="2"/>
        <v>127044</v>
      </c>
    </row>
    <row r="43" spans="1:14" x14ac:dyDescent="0.45">
      <c r="A43" s="6" t="s">
        <v>116</v>
      </c>
      <c r="B43" s="3"/>
      <c r="C43" s="3"/>
      <c r="D43" s="3">
        <v>16050</v>
      </c>
      <c r="E43" s="3"/>
      <c r="F43" s="3">
        <v>16050</v>
      </c>
      <c r="G43" s="3"/>
      <c r="H43" s="3"/>
      <c r="I43" s="3"/>
      <c r="J43" s="3"/>
      <c r="K43" s="3"/>
      <c r="L43" s="3">
        <v>7200</v>
      </c>
      <c r="M43" s="3"/>
      <c r="N43" s="5">
        <f t="shared" si="2"/>
        <v>39300</v>
      </c>
    </row>
    <row r="44" spans="1:14" x14ac:dyDescent="0.45">
      <c r="A44" s="6" t="s">
        <v>72</v>
      </c>
      <c r="B44" s="3"/>
      <c r="C44" s="3"/>
      <c r="D44" s="3"/>
      <c r="E44" s="3"/>
      <c r="F44" s="3"/>
      <c r="G44" s="3"/>
      <c r="H44" s="3">
        <v>5890</v>
      </c>
      <c r="I44" s="3"/>
      <c r="J44" s="3"/>
      <c r="K44" s="3"/>
      <c r="L44" s="3"/>
      <c r="M44" s="3"/>
      <c r="N44" s="5">
        <f t="shared" si="2"/>
        <v>5890</v>
      </c>
    </row>
    <row r="45" spans="1:14" x14ac:dyDescent="0.45">
      <c r="A45" s="6" t="s">
        <v>126</v>
      </c>
      <c r="B45" s="3"/>
      <c r="C45" s="3"/>
      <c r="D45" s="3"/>
      <c r="E45" s="3"/>
      <c r="F45" s="3"/>
      <c r="G45" s="3"/>
      <c r="H45" s="3"/>
      <c r="I45" s="3"/>
      <c r="J45" s="3"/>
      <c r="K45" s="3"/>
      <c r="L45" s="3">
        <v>7400</v>
      </c>
      <c r="M45" s="3">
        <f>4605.52+14000</f>
        <v>18605.52</v>
      </c>
      <c r="N45" s="5">
        <f t="shared" si="2"/>
        <v>26005.52</v>
      </c>
    </row>
    <row r="46" spans="1:14" ht="28.5" x14ac:dyDescent="0.45">
      <c r="A46" s="6" t="s">
        <v>125</v>
      </c>
      <c r="B46" s="3"/>
      <c r="C46" s="3"/>
      <c r="D46" s="3"/>
      <c r="E46" s="3"/>
      <c r="F46" s="3"/>
      <c r="G46" s="3"/>
      <c r="H46" s="3"/>
      <c r="I46" s="3"/>
      <c r="J46" s="3">
        <v>2294.04</v>
      </c>
      <c r="K46" s="3"/>
      <c r="L46" s="3"/>
      <c r="M46" s="3"/>
      <c r="N46" s="5">
        <f t="shared" si="2"/>
        <v>2294.04</v>
      </c>
    </row>
    <row r="47" spans="1:14" ht="28.5" x14ac:dyDescent="0.45">
      <c r="A47" s="6" t="s">
        <v>50</v>
      </c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5">
        <f t="shared" si="2"/>
        <v>0</v>
      </c>
    </row>
    <row r="48" spans="1:14" ht="28.5" x14ac:dyDescent="0.45">
      <c r="A48" s="6" t="s">
        <v>117</v>
      </c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>
        <v>179835</v>
      </c>
      <c r="N48" s="5">
        <f t="shared" si="2"/>
        <v>179835</v>
      </c>
    </row>
    <row r="49" spans="1:15" ht="28.5" x14ac:dyDescent="0.45">
      <c r="A49" s="6" t="s">
        <v>121</v>
      </c>
      <c r="B49" s="3"/>
      <c r="C49" s="3"/>
      <c r="D49" s="3"/>
      <c r="E49" s="3"/>
      <c r="F49" s="3"/>
      <c r="G49" s="3"/>
      <c r="H49" s="3"/>
      <c r="I49" s="3">
        <f>17331.7+3000</f>
        <v>20331.7</v>
      </c>
      <c r="J49" s="3">
        <v>10000</v>
      </c>
      <c r="K49" s="3"/>
      <c r="L49" s="3"/>
      <c r="M49" s="3"/>
      <c r="N49" s="5">
        <f t="shared" si="2"/>
        <v>30331.7</v>
      </c>
    </row>
    <row r="50" spans="1:15" ht="15" customHeight="1" x14ac:dyDescent="0.45">
      <c r="A50" s="6" t="s">
        <v>122</v>
      </c>
      <c r="B50" s="3"/>
      <c r="C50" s="3"/>
      <c r="D50" s="3"/>
      <c r="E50" s="3"/>
      <c r="F50" s="3"/>
      <c r="G50" s="3"/>
      <c r="H50" s="3"/>
      <c r="I50" s="3">
        <v>400</v>
      </c>
      <c r="J50" s="3"/>
      <c r="K50" s="3"/>
      <c r="L50" s="3"/>
      <c r="M50" s="3"/>
      <c r="N50" s="5">
        <f t="shared" si="2"/>
        <v>400</v>
      </c>
    </row>
    <row r="51" spans="1:15" ht="30.75" customHeight="1" x14ac:dyDescent="0.45">
      <c r="A51" s="6" t="s">
        <v>120</v>
      </c>
      <c r="B51" s="3"/>
      <c r="C51" s="3"/>
      <c r="D51" s="3"/>
      <c r="E51" s="3"/>
      <c r="F51" s="3"/>
      <c r="G51" s="3"/>
      <c r="H51" s="3">
        <v>32000</v>
      </c>
      <c r="I51" s="3"/>
      <c r="J51" s="3"/>
      <c r="K51" s="3"/>
      <c r="L51" s="3"/>
      <c r="M51" s="3"/>
      <c r="N51" s="5">
        <f t="shared" si="2"/>
        <v>32000</v>
      </c>
    </row>
    <row r="52" spans="1:15" x14ac:dyDescent="0.45">
      <c r="A52" s="6" t="s">
        <v>32</v>
      </c>
      <c r="B52" s="3"/>
      <c r="C52" s="3">
        <v>6000</v>
      </c>
      <c r="D52" s="3">
        <v>3000</v>
      </c>
      <c r="E52" s="3"/>
      <c r="F52" s="3"/>
      <c r="G52" s="3">
        <v>2460</v>
      </c>
      <c r="H52" s="3"/>
      <c r="I52" s="3">
        <v>2460</v>
      </c>
      <c r="J52" s="3">
        <f>12243.5-4920</f>
        <v>7323.5</v>
      </c>
      <c r="K52" s="3"/>
      <c r="L52" s="3">
        <v>4052</v>
      </c>
      <c r="M52" s="3"/>
      <c r="N52" s="5">
        <f t="shared" si="2"/>
        <v>25295.5</v>
      </c>
    </row>
    <row r="53" spans="1:15" x14ac:dyDescent="0.45">
      <c r="A53" s="6" t="s">
        <v>123</v>
      </c>
      <c r="B53" s="3"/>
      <c r="C53" s="3"/>
      <c r="D53" s="3"/>
      <c r="E53" s="3"/>
      <c r="F53" s="3">
        <v>15000</v>
      </c>
      <c r="G53" s="3"/>
      <c r="H53" s="3"/>
      <c r="I53" s="3"/>
      <c r="J53" s="3"/>
      <c r="K53" s="3"/>
      <c r="L53" s="3"/>
      <c r="M53" s="3"/>
      <c r="N53" s="5">
        <f t="shared" si="2"/>
        <v>15000</v>
      </c>
    </row>
    <row r="54" spans="1:15" x14ac:dyDescent="0.45">
      <c r="A54" s="6" t="s">
        <v>124</v>
      </c>
      <c r="B54" s="3"/>
      <c r="C54" s="3"/>
      <c r="D54" s="3"/>
      <c r="E54" s="3"/>
      <c r="F54" s="3"/>
      <c r="G54" s="3">
        <v>521</v>
      </c>
      <c r="H54" s="3"/>
      <c r="I54" s="3"/>
      <c r="J54" s="3"/>
      <c r="K54" s="3"/>
      <c r="L54" s="3"/>
      <c r="M54" s="3"/>
      <c r="N54" s="5">
        <f t="shared" si="2"/>
        <v>521</v>
      </c>
    </row>
    <row r="55" spans="1:15" x14ac:dyDescent="0.45">
      <c r="A55" s="6" t="s">
        <v>127</v>
      </c>
      <c r="B55" s="3"/>
      <c r="C55" s="3"/>
      <c r="D55" s="3"/>
      <c r="E55" s="3"/>
      <c r="F55" s="3"/>
      <c r="G55" s="3"/>
      <c r="H55" s="3"/>
      <c r="I55" s="3">
        <v>2000</v>
      </c>
      <c r="J55" s="3"/>
      <c r="K55" s="3">
        <v>10000</v>
      </c>
      <c r="L55" s="3"/>
      <c r="M55" s="3"/>
      <c r="N55" s="5">
        <f t="shared" si="2"/>
        <v>12000</v>
      </c>
    </row>
    <row r="56" spans="1:15" x14ac:dyDescent="0.45">
      <c r="A56" s="4" t="s">
        <v>22</v>
      </c>
      <c r="B56" s="5">
        <f t="shared" ref="B56:N56" si="3">SUM(B35:B55)</f>
        <v>34947.47</v>
      </c>
      <c r="C56" s="5">
        <f t="shared" si="3"/>
        <v>149202.6</v>
      </c>
      <c r="D56" s="5">
        <f t="shared" si="3"/>
        <v>129076.37</v>
      </c>
      <c r="E56" s="5">
        <f t="shared" si="3"/>
        <v>77360.649999999994</v>
      </c>
      <c r="F56" s="5">
        <f t="shared" si="3"/>
        <v>121249.38</v>
      </c>
      <c r="G56" s="5">
        <f t="shared" si="3"/>
        <v>162886.23000000001</v>
      </c>
      <c r="H56" s="5">
        <f t="shared" si="3"/>
        <v>264873.8</v>
      </c>
      <c r="I56" s="5">
        <f t="shared" si="3"/>
        <v>236481.30000000002</v>
      </c>
      <c r="J56" s="5">
        <f t="shared" si="3"/>
        <v>190752.93000000002</v>
      </c>
      <c r="K56" s="5">
        <f t="shared" si="3"/>
        <v>175740.99</v>
      </c>
      <c r="L56" s="5">
        <f t="shared" si="3"/>
        <v>129390</v>
      </c>
      <c r="M56" s="5">
        <f t="shared" si="3"/>
        <v>540979.64</v>
      </c>
      <c r="N56" s="5">
        <f t="shared" si="3"/>
        <v>2212941.3600000003</v>
      </c>
      <c r="O56" s="1"/>
    </row>
    <row r="57" spans="1:15" x14ac:dyDescent="0.45">
      <c r="A57" s="9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</row>
    <row r="58" spans="1:15" ht="29.25" customHeight="1" x14ac:dyDescent="0.45">
      <c r="A58" s="10" t="s">
        <v>34</v>
      </c>
      <c r="B58" s="11" t="s">
        <v>1</v>
      </c>
      <c r="C58" s="11" t="s">
        <v>2</v>
      </c>
      <c r="D58" s="11" t="s">
        <v>3</v>
      </c>
      <c r="E58" s="11" t="s">
        <v>4</v>
      </c>
      <c r="F58" s="11" t="s">
        <v>5</v>
      </c>
      <c r="G58" s="11" t="s">
        <v>6</v>
      </c>
      <c r="H58" s="11" t="s">
        <v>7</v>
      </c>
      <c r="I58" s="10" t="s">
        <v>8</v>
      </c>
      <c r="J58" s="11" t="s">
        <v>9</v>
      </c>
      <c r="K58" s="11" t="s">
        <v>10</v>
      </c>
      <c r="L58" s="11" t="s">
        <v>11</v>
      </c>
      <c r="M58" s="11" t="s">
        <v>12</v>
      </c>
      <c r="N58" s="11" t="s">
        <v>17</v>
      </c>
    </row>
    <row r="59" spans="1:15" x14ac:dyDescent="0.45">
      <c r="A59" s="6" t="s">
        <v>118</v>
      </c>
      <c r="B59" s="2"/>
      <c r="C59" s="2"/>
      <c r="D59" s="2"/>
      <c r="E59" s="2"/>
      <c r="F59" s="2"/>
      <c r="G59" s="2"/>
      <c r="H59" s="2"/>
      <c r="I59" s="2"/>
      <c r="J59" s="3"/>
      <c r="K59" s="3"/>
      <c r="L59" s="3"/>
      <c r="M59" s="3">
        <f>35190.35+432492</f>
        <v>467682.35</v>
      </c>
      <c r="N59" s="31">
        <f>N31-N56</f>
        <v>695240.61999999965</v>
      </c>
    </row>
    <row r="60" spans="1:15" x14ac:dyDescent="0.45">
      <c r="A60" s="6" t="s">
        <v>119</v>
      </c>
      <c r="B60" s="2"/>
      <c r="C60" s="2"/>
      <c r="D60" s="2"/>
      <c r="E60" s="2"/>
      <c r="F60" s="2"/>
      <c r="G60" s="2"/>
      <c r="H60" s="2"/>
      <c r="I60" s="2"/>
      <c r="J60" s="3"/>
      <c r="K60" s="3"/>
      <c r="L60" s="3"/>
      <c r="M60" s="3">
        <v>227558.27</v>
      </c>
      <c r="N60" s="32"/>
    </row>
    <row r="61" spans="1:15" x14ac:dyDescent="0.45">
      <c r="A61" s="6" t="s">
        <v>80</v>
      </c>
      <c r="B61" s="24"/>
      <c r="C61" s="24"/>
      <c r="D61" s="24"/>
      <c r="E61" s="24"/>
      <c r="F61" s="24"/>
      <c r="G61" s="24">
        <v>50000</v>
      </c>
      <c r="H61" s="24"/>
      <c r="I61" s="24"/>
      <c r="J61" s="24">
        <v>50000</v>
      </c>
      <c r="K61" s="24"/>
      <c r="L61" s="24"/>
      <c r="M61" s="24"/>
      <c r="N61" s="5">
        <f>SUM(B61:M61)</f>
        <v>100000</v>
      </c>
    </row>
    <row r="62" spans="1:15" x14ac:dyDescent="0.45">
      <c r="A62" s="6" t="s">
        <v>35</v>
      </c>
      <c r="B62" s="24">
        <v>25772.799999999999</v>
      </c>
      <c r="C62" s="24">
        <v>15176</v>
      </c>
      <c r="D62" s="24">
        <v>13365</v>
      </c>
      <c r="E62" s="24">
        <v>43738</v>
      </c>
      <c r="F62" s="24">
        <v>72732.600000000006</v>
      </c>
      <c r="G62" s="24">
        <v>93814.2</v>
      </c>
      <c r="H62" s="24">
        <v>98395</v>
      </c>
      <c r="I62" s="24">
        <v>94828.6</v>
      </c>
      <c r="J62" s="24">
        <v>75033.740000000005</v>
      </c>
      <c r="K62" s="24">
        <v>59568.4</v>
      </c>
      <c r="L62" s="24">
        <v>28260.52</v>
      </c>
      <c r="M62" s="24">
        <v>13185.4</v>
      </c>
      <c r="N62" s="5">
        <f>SUM(B62:M62)</f>
        <v>633870.26000000013</v>
      </c>
    </row>
    <row r="63" spans="1:15" ht="28.5" x14ac:dyDescent="0.45">
      <c r="A63" s="27" t="s">
        <v>112</v>
      </c>
      <c r="B63" s="3">
        <f>B62-C25-C26-C30-3706.6</f>
        <v>8188.869999999999</v>
      </c>
      <c r="C63" s="3">
        <f>C62-D25-D26-D30-3224.89</f>
        <v>-2882.0299999999993</v>
      </c>
      <c r="D63" s="3">
        <f>D62-E25-E26-E30-3089.87</f>
        <v>363.48000000000047</v>
      </c>
      <c r="E63" s="3">
        <f>E62-F25-F26-F30-2375.95</f>
        <v>-22593.98</v>
      </c>
      <c r="F63" s="3">
        <f>F62-G25-G26-G30-34.53</f>
        <v>-5829.1899999999932</v>
      </c>
      <c r="G63" s="3">
        <f>G62-H25-H26-H30-1193.97</f>
        <v>35940.509999999987</v>
      </c>
      <c r="H63" s="3">
        <f>H62-I25-I26-I30-1848.77</f>
        <v>-17977.750000000007</v>
      </c>
      <c r="I63" s="3">
        <f>I62-J25-J26-J30-1559.36</f>
        <v>18690.13</v>
      </c>
      <c r="J63" s="3">
        <f>J62-K25-K26-K30-2077.74</f>
        <v>30848.710000000006</v>
      </c>
      <c r="K63" s="3">
        <f>K62-L25-L26-L30-2158.01</f>
        <v>-4681.7099999999973</v>
      </c>
      <c r="L63" s="3">
        <f>L62-M25-M26-M30-2762.51</f>
        <v>-21407.86</v>
      </c>
      <c r="M63" s="3">
        <f>M62-19951.05-3002.07</f>
        <v>-9767.7199999999993</v>
      </c>
      <c r="N63" s="5">
        <f>SUM(B63:M63)</f>
        <v>8891.4600000000009</v>
      </c>
      <c r="O63" s="1"/>
    </row>
    <row r="64" spans="1:15" x14ac:dyDescent="0.45">
      <c r="A64" s="15" t="s">
        <v>76</v>
      </c>
      <c r="B64" s="24">
        <f>B65+B66+B67</f>
        <v>15000</v>
      </c>
      <c r="C64" s="24">
        <f t="shared" ref="C64:M64" si="4">C65+C66+C67</f>
        <v>8000</v>
      </c>
      <c r="D64" s="24">
        <f t="shared" si="4"/>
        <v>12000</v>
      </c>
      <c r="E64" s="24">
        <f t="shared" si="4"/>
        <v>20000</v>
      </c>
      <c r="F64" s="24">
        <f t="shared" si="4"/>
        <v>25000</v>
      </c>
      <c r="G64" s="24">
        <f t="shared" si="4"/>
        <v>38000</v>
      </c>
      <c r="H64" s="24">
        <f t="shared" si="4"/>
        <v>80000</v>
      </c>
      <c r="I64" s="24">
        <f t="shared" si="4"/>
        <v>26000</v>
      </c>
      <c r="J64" s="24">
        <f t="shared" si="4"/>
        <v>36000</v>
      </c>
      <c r="K64" s="24">
        <f t="shared" si="4"/>
        <v>16000</v>
      </c>
      <c r="L64" s="24">
        <f t="shared" si="4"/>
        <v>32000</v>
      </c>
      <c r="M64" s="24">
        <f t="shared" si="4"/>
        <v>260309</v>
      </c>
      <c r="N64" s="5">
        <f>SUM(B64:M64)</f>
        <v>568309</v>
      </c>
    </row>
    <row r="65" spans="1:14" x14ac:dyDescent="0.45">
      <c r="A65" s="6" t="s">
        <v>77</v>
      </c>
      <c r="B65" s="3"/>
      <c r="C65" s="3"/>
      <c r="D65" s="3"/>
      <c r="E65" s="3"/>
      <c r="F65" s="3"/>
      <c r="G65" s="3"/>
      <c r="H65" s="3">
        <v>24000</v>
      </c>
      <c r="I65" s="3"/>
      <c r="J65" s="3"/>
      <c r="K65" s="3"/>
      <c r="L65" s="3">
        <v>6000</v>
      </c>
      <c r="M65" s="24">
        <f>18000+42108+84000</f>
        <v>144108</v>
      </c>
      <c r="N65" s="3">
        <f>SUM(B65:M65)</f>
        <v>174108</v>
      </c>
    </row>
    <row r="66" spans="1:14" x14ac:dyDescent="0.45">
      <c r="A66" s="6" t="s">
        <v>78</v>
      </c>
      <c r="B66" s="3"/>
      <c r="C66" s="3"/>
      <c r="D66" s="3"/>
      <c r="E66" s="3"/>
      <c r="F66" s="3"/>
      <c r="G66" s="3">
        <v>18000</v>
      </c>
      <c r="H66" s="3">
        <v>36000</v>
      </c>
      <c r="I66" s="3">
        <v>6000</v>
      </c>
      <c r="J66" s="3">
        <v>6000</v>
      </c>
      <c r="K66" s="3">
        <v>6000</v>
      </c>
      <c r="L66" s="3">
        <v>6000</v>
      </c>
      <c r="M66" s="24">
        <f>78000+6000+12111</f>
        <v>96111</v>
      </c>
      <c r="N66" s="3">
        <f t="shared" ref="N66:N67" si="5">SUM(B66:M66)</f>
        <v>174111</v>
      </c>
    </row>
    <row r="67" spans="1:14" x14ac:dyDescent="0.45">
      <c r="A67" s="6" t="s">
        <v>79</v>
      </c>
      <c r="B67" s="3">
        <v>15000</v>
      </c>
      <c r="C67" s="3">
        <v>8000</v>
      </c>
      <c r="D67" s="3">
        <v>12000</v>
      </c>
      <c r="E67" s="3">
        <v>20000</v>
      </c>
      <c r="F67" s="3">
        <v>25000</v>
      </c>
      <c r="G67" s="3">
        <v>20000</v>
      </c>
      <c r="H67" s="3">
        <v>20000</v>
      </c>
      <c r="I67" s="3">
        <v>20000</v>
      </c>
      <c r="J67" s="3">
        <v>30000</v>
      </c>
      <c r="K67" s="3">
        <v>10000</v>
      </c>
      <c r="L67" s="3">
        <v>20000</v>
      </c>
      <c r="M67" s="24">
        <v>20090</v>
      </c>
      <c r="N67" s="3">
        <f t="shared" si="5"/>
        <v>220090</v>
      </c>
    </row>
    <row r="68" spans="1:14" x14ac:dyDescent="0.45">
      <c r="L68" s="33"/>
      <c r="M68" s="33"/>
      <c r="N68" s="8"/>
    </row>
  </sheetData>
  <mergeCells count="3">
    <mergeCell ref="A1:N1"/>
    <mergeCell ref="N59:N60"/>
    <mergeCell ref="L68:M68"/>
  </mergeCells>
  <pageMargins left="0.19685039370078741" right="0.31496062992125984" top="0.35433070866141736" bottom="0.35433070866141736" header="0.11811023622047245" footer="0.11811023622047245"/>
  <pageSetup paperSize="9" scale="64" orientation="landscape" r:id="rId1"/>
  <rowBreaks count="1" manualBreakCount="1">
    <brk id="3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2015</vt:lpstr>
      <vt:lpstr>2016</vt:lpstr>
      <vt:lpstr>2017</vt:lpstr>
      <vt:lpstr>2018</vt:lpstr>
      <vt:lpstr>'2016'!Область_печати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В. Смирнова</dc:creator>
  <cp:lastModifiedBy>Admin</cp:lastModifiedBy>
  <cp:lastPrinted>2019-03-05T15:16:44Z</cp:lastPrinted>
  <dcterms:created xsi:type="dcterms:W3CDTF">2017-09-14T09:22:34Z</dcterms:created>
  <dcterms:modified xsi:type="dcterms:W3CDTF">2019-04-26T07:40:55Z</dcterms:modified>
</cp:coreProperties>
</file>